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92" windowHeight="1092"/>
  </bookViews>
  <sheets>
    <sheet name="Смета по ТСН-2001" sheetId="5" r:id="rId1"/>
    <sheet name="Ведомость объемов работ" sheetId="6" r:id="rId2"/>
    <sheet name="Объектная смета" sheetId="7" r:id="rId3"/>
    <sheet name="RV_DATA" sheetId="9" state="hidden" r:id="rId4"/>
    <sheet name="Расчет стоимости ресурсов" sheetId="8" r:id="rId5"/>
    <sheet name="Source" sheetId="1" r:id="rId6"/>
    <sheet name="SourceObSm" sheetId="2" r:id="rId7"/>
    <sheet name="SmtRes" sheetId="3" r:id="rId8"/>
    <sheet name="EtalonRes" sheetId="4" r:id="rId9"/>
  </sheets>
  <externalReferences>
    <externalReference r:id="rId10"/>
  </externalReferences>
  <definedNames>
    <definedName name="_xlnm.Print_Titles" localSheetId="1">'Ведомость объемов работ'!$7:$7</definedName>
    <definedName name="_xlnm.Print_Titles" localSheetId="2">'Объектная смета'!$23:$23</definedName>
    <definedName name="_xlnm.Print_Titles" localSheetId="4">'Расчет стоимости ресурсов'!$4:$7</definedName>
    <definedName name="_xlnm.Print_Titles" localSheetId="0">'Смета по ТСН-2001'!$33:$33</definedName>
    <definedName name="_xlnm.Print_Area" localSheetId="1">'Ведомость объемов работ'!$A$1:$E$42</definedName>
    <definedName name="_xlnm.Print_Area" localSheetId="4">'Расчет стоимости ресурсов'!$A$1:$F$77</definedName>
    <definedName name="_xlnm.Print_Area" localSheetId="0">'Смета по ТСН-2001'!$A$1:$K$226</definedName>
  </definedNames>
  <calcPr calcId="124519"/>
</workbook>
</file>

<file path=xl/calcChain.xml><?xml version="1.0" encoding="utf-8"?>
<calcChain xmlns="http://schemas.openxmlformats.org/spreadsheetml/2006/main">
  <c r="A16" i="5"/>
  <c r="J218" l="1"/>
  <c r="J217"/>
  <c r="A76" i="8"/>
  <c r="F74"/>
  <c r="E74"/>
  <c r="D74"/>
  <c r="F69"/>
  <c r="E69"/>
  <c r="D69"/>
  <c r="F70"/>
  <c r="E70"/>
  <c r="D70"/>
  <c r="F72"/>
  <c r="E72"/>
  <c r="D72"/>
  <c r="F73"/>
  <c r="E73"/>
  <c r="D73"/>
  <c r="F71"/>
  <c r="E71"/>
  <c r="D71"/>
  <c r="F68"/>
  <c r="E75" s="1"/>
  <c r="E68"/>
  <c r="D68"/>
  <c r="F58"/>
  <c r="E66" s="1"/>
  <c r="E58"/>
  <c r="D58"/>
  <c r="F60"/>
  <c r="E60"/>
  <c r="D60"/>
  <c r="F61"/>
  <c r="E61"/>
  <c r="D61"/>
  <c r="F59"/>
  <c r="E59"/>
  <c r="D59"/>
  <c r="F62"/>
  <c r="E62"/>
  <c r="D62"/>
  <c r="F63"/>
  <c r="E63"/>
  <c r="D63"/>
  <c r="F64"/>
  <c r="E64"/>
  <c r="D64"/>
  <c r="F65"/>
  <c r="E65"/>
  <c r="D65"/>
  <c r="A56"/>
  <c r="F52"/>
  <c r="E52"/>
  <c r="D52"/>
  <c r="F53"/>
  <c r="E53"/>
  <c r="D53"/>
  <c r="F54"/>
  <c r="E54"/>
  <c r="D54"/>
  <c r="F51"/>
  <c r="E51"/>
  <c r="D51"/>
  <c r="F49"/>
  <c r="E49"/>
  <c r="D49"/>
  <c r="F50"/>
  <c r="E50"/>
  <c r="D50"/>
  <c r="F48"/>
  <c r="E55" s="1"/>
  <c r="E48"/>
  <c r="D48"/>
  <c r="F34"/>
  <c r="E34"/>
  <c r="D34"/>
  <c r="F35"/>
  <c r="E35"/>
  <c r="D35"/>
  <c r="F37"/>
  <c r="E37"/>
  <c r="D37"/>
  <c r="F38"/>
  <c r="E38"/>
  <c r="D38"/>
  <c r="F45"/>
  <c r="E45"/>
  <c r="D45"/>
  <c r="F32"/>
  <c r="E32"/>
  <c r="D32"/>
  <c r="F41"/>
  <c r="E41"/>
  <c r="D41"/>
  <c r="F42"/>
  <c r="E42"/>
  <c r="D42"/>
  <c r="F36"/>
  <c r="E36"/>
  <c r="D36"/>
  <c r="F39"/>
  <c r="E39"/>
  <c r="D39"/>
  <c r="F40"/>
  <c r="E40"/>
  <c r="D40"/>
  <c r="F43"/>
  <c r="E43"/>
  <c r="D43"/>
  <c r="F44"/>
  <c r="E44"/>
  <c r="D44"/>
  <c r="F31"/>
  <c r="E46" s="1"/>
  <c r="E31"/>
  <c r="D31"/>
  <c r="F33"/>
  <c r="E33"/>
  <c r="D33"/>
  <c r="A29"/>
  <c r="F27"/>
  <c r="E27"/>
  <c r="D27"/>
  <c r="F25"/>
  <c r="E28" s="1"/>
  <c r="E25"/>
  <c r="D25"/>
  <c r="F24"/>
  <c r="E24"/>
  <c r="D24"/>
  <c r="F26"/>
  <c r="E26"/>
  <c r="D26"/>
  <c r="F23"/>
  <c r="E23"/>
  <c r="D23"/>
  <c r="F12"/>
  <c r="E12"/>
  <c r="D12"/>
  <c r="F17"/>
  <c r="E17"/>
  <c r="D17"/>
  <c r="F18"/>
  <c r="E18"/>
  <c r="D18"/>
  <c r="F14"/>
  <c r="E14"/>
  <c r="D14"/>
  <c r="F15"/>
  <c r="E15"/>
  <c r="D15"/>
  <c r="F16"/>
  <c r="E16"/>
  <c r="D16"/>
  <c r="F19"/>
  <c r="E19"/>
  <c r="D19"/>
  <c r="F20"/>
  <c r="E20"/>
  <c r="D20"/>
  <c r="F11"/>
  <c r="E11"/>
  <c r="D11"/>
  <c r="F13"/>
  <c r="E21" s="1"/>
  <c r="E13"/>
  <c r="D13"/>
  <c r="A9"/>
  <c r="A8"/>
  <c r="A3"/>
  <c r="G73" i="9"/>
  <c r="A73"/>
  <c r="U72"/>
  <c r="T72"/>
  <c r="S72"/>
  <c r="R72"/>
  <c r="P72"/>
  <c r="O72"/>
  <c r="N72"/>
  <c r="M72"/>
  <c r="K72"/>
  <c r="I72"/>
  <c r="H72"/>
  <c r="G72"/>
  <c r="F72"/>
  <c r="E72"/>
  <c r="D72"/>
  <c r="A72"/>
  <c r="U71"/>
  <c r="T71"/>
  <c r="R71"/>
  <c r="Q71"/>
  <c r="S71"/>
  <c r="P71"/>
  <c r="O71"/>
  <c r="M71"/>
  <c r="L71"/>
  <c r="N71"/>
  <c r="K71"/>
  <c r="J71"/>
  <c r="I71"/>
  <c r="H71"/>
  <c r="G71"/>
  <c r="F71"/>
  <c r="E71"/>
  <c r="A71"/>
  <c r="U70"/>
  <c r="T70"/>
  <c r="R70"/>
  <c r="Q70"/>
  <c r="S70"/>
  <c r="P70"/>
  <c r="O70"/>
  <c r="M70"/>
  <c r="L70"/>
  <c r="N70"/>
  <c r="K70"/>
  <c r="J70"/>
  <c r="I70"/>
  <c r="H70"/>
  <c r="G70"/>
  <c r="F70"/>
  <c r="E70"/>
  <c r="A70"/>
  <c r="U69"/>
  <c r="T69"/>
  <c r="R69"/>
  <c r="Q69"/>
  <c r="S69"/>
  <c r="P69"/>
  <c r="O69"/>
  <c r="M69"/>
  <c r="L69"/>
  <c r="N69"/>
  <c r="K69"/>
  <c r="J69"/>
  <c r="I69"/>
  <c r="H69"/>
  <c r="G69"/>
  <c r="F69"/>
  <c r="E69"/>
  <c r="A69"/>
  <c r="U68"/>
  <c r="T68"/>
  <c r="R68"/>
  <c r="Q68"/>
  <c r="S68"/>
  <c r="P68"/>
  <c r="O68"/>
  <c r="M68"/>
  <c r="L68"/>
  <c r="N68"/>
  <c r="K68"/>
  <c r="J68"/>
  <c r="I68"/>
  <c r="H68"/>
  <c r="G68"/>
  <c r="F68"/>
  <c r="E68"/>
  <c r="A68"/>
  <c r="U67"/>
  <c r="T67"/>
  <c r="R67"/>
  <c r="Q67"/>
  <c r="S67"/>
  <c r="P67"/>
  <c r="O67"/>
  <c r="M67"/>
  <c r="L67"/>
  <c r="N67"/>
  <c r="K67"/>
  <c r="J67"/>
  <c r="I67"/>
  <c r="H67"/>
  <c r="G67"/>
  <c r="F67"/>
  <c r="E67"/>
  <c r="A67"/>
  <c r="U66"/>
  <c r="T66"/>
  <c r="R66"/>
  <c r="Q66"/>
  <c r="S66"/>
  <c r="P66"/>
  <c r="O66"/>
  <c r="M66"/>
  <c r="L66"/>
  <c r="N66"/>
  <c r="K66"/>
  <c r="J66"/>
  <c r="I66"/>
  <c r="H66"/>
  <c r="G66"/>
  <c r="F66"/>
  <c r="E66"/>
  <c r="A66"/>
  <c r="U65"/>
  <c r="T65"/>
  <c r="R65"/>
  <c r="Q65"/>
  <c r="S65"/>
  <c r="P65"/>
  <c r="O65"/>
  <c r="M65"/>
  <c r="L65"/>
  <c r="N65"/>
  <c r="K65"/>
  <c r="J65"/>
  <c r="I65"/>
  <c r="H65"/>
  <c r="G65"/>
  <c r="F65"/>
  <c r="E65"/>
  <c r="A65"/>
  <c r="U64"/>
  <c r="T64"/>
  <c r="S64"/>
  <c r="R64"/>
  <c r="P64"/>
  <c r="O64"/>
  <c r="N64"/>
  <c r="M64"/>
  <c r="K64"/>
  <c r="I64"/>
  <c r="H64"/>
  <c r="G64"/>
  <c r="F64"/>
  <c r="E64"/>
  <c r="D64"/>
  <c r="A64"/>
  <c r="U63"/>
  <c r="T63"/>
  <c r="R63"/>
  <c r="Q63"/>
  <c r="S63"/>
  <c r="P63"/>
  <c r="O63"/>
  <c r="M63"/>
  <c r="L63"/>
  <c r="N63"/>
  <c r="K63"/>
  <c r="J63"/>
  <c r="I63"/>
  <c r="H63"/>
  <c r="G63"/>
  <c r="F63"/>
  <c r="E63"/>
  <c r="A63"/>
  <c r="U62"/>
  <c r="T62"/>
  <c r="R62"/>
  <c r="Q62"/>
  <c r="S62"/>
  <c r="P62"/>
  <c r="O62"/>
  <c r="M62"/>
  <c r="L62"/>
  <c r="N62"/>
  <c r="K62"/>
  <c r="J62"/>
  <c r="I62"/>
  <c r="H62"/>
  <c r="G62"/>
  <c r="F62"/>
  <c r="E62"/>
  <c r="A62"/>
  <c r="U61"/>
  <c r="T61"/>
  <c r="R61"/>
  <c r="Q61"/>
  <c r="S61"/>
  <c r="P61"/>
  <c r="O61"/>
  <c r="M61"/>
  <c r="L61"/>
  <c r="N61"/>
  <c r="K61"/>
  <c r="J61"/>
  <c r="I61"/>
  <c r="H61"/>
  <c r="G61"/>
  <c r="F61"/>
  <c r="E61"/>
  <c r="A61"/>
  <c r="U60"/>
  <c r="T60"/>
  <c r="R60"/>
  <c r="Q60"/>
  <c r="S60"/>
  <c r="P60"/>
  <c r="O60"/>
  <c r="M60"/>
  <c r="L60"/>
  <c r="N60"/>
  <c r="K60"/>
  <c r="J60"/>
  <c r="I60"/>
  <c r="H60"/>
  <c r="G60"/>
  <c r="F60"/>
  <c r="E60"/>
  <c r="A60"/>
  <c r="U59"/>
  <c r="T59"/>
  <c r="R59"/>
  <c r="Q59"/>
  <c r="S59"/>
  <c r="P59"/>
  <c r="O59"/>
  <c r="M59"/>
  <c r="L59"/>
  <c r="N59"/>
  <c r="K59"/>
  <c r="J59"/>
  <c r="I59"/>
  <c r="H59"/>
  <c r="G59"/>
  <c r="F59"/>
  <c r="E59"/>
  <c r="A59"/>
  <c r="U58"/>
  <c r="T58"/>
  <c r="R58"/>
  <c r="Q58"/>
  <c r="S58"/>
  <c r="P58"/>
  <c r="O58"/>
  <c r="M58"/>
  <c r="L58"/>
  <c r="N58"/>
  <c r="K58"/>
  <c r="J58"/>
  <c r="I58"/>
  <c r="H58"/>
  <c r="G58"/>
  <c r="F58"/>
  <c r="E58"/>
  <c r="A58"/>
  <c r="G57"/>
  <c r="A57"/>
  <c r="U56"/>
  <c r="T56"/>
  <c r="S56"/>
  <c r="R56"/>
  <c r="P56"/>
  <c r="O56"/>
  <c r="N56"/>
  <c r="M56"/>
  <c r="K56"/>
  <c r="I56"/>
  <c r="H56"/>
  <c r="G56"/>
  <c r="F56"/>
  <c r="E56"/>
  <c r="D56"/>
  <c r="A56"/>
  <c r="U55"/>
  <c r="T55"/>
  <c r="S55"/>
  <c r="R55"/>
  <c r="P55"/>
  <c r="O55"/>
  <c r="N55"/>
  <c r="M55"/>
  <c r="K55"/>
  <c r="I55"/>
  <c r="H55"/>
  <c r="G55"/>
  <c r="F55"/>
  <c r="E55"/>
  <c r="D55"/>
  <c r="A55"/>
  <c r="U54"/>
  <c r="T54"/>
  <c r="S54"/>
  <c r="R54"/>
  <c r="P54"/>
  <c r="O54"/>
  <c r="N54"/>
  <c r="M54"/>
  <c r="K54"/>
  <c r="I54"/>
  <c r="H54"/>
  <c r="G54"/>
  <c r="F54"/>
  <c r="E54"/>
  <c r="D54"/>
  <c r="A54"/>
  <c r="U53"/>
  <c r="T53"/>
  <c r="R53"/>
  <c r="Q53"/>
  <c r="S53"/>
  <c r="P53"/>
  <c r="O53"/>
  <c r="M53"/>
  <c r="L53"/>
  <c r="N53"/>
  <c r="K53"/>
  <c r="J53"/>
  <c r="I53"/>
  <c r="H53"/>
  <c r="G53"/>
  <c r="F53"/>
  <c r="E53"/>
  <c r="A53"/>
  <c r="U52"/>
  <c r="T52"/>
  <c r="R52"/>
  <c r="Q52"/>
  <c r="S52"/>
  <c r="P52"/>
  <c r="O52"/>
  <c r="M52"/>
  <c r="L52"/>
  <c r="N52"/>
  <c r="K52"/>
  <c r="J52"/>
  <c r="I52"/>
  <c r="H52"/>
  <c r="G52"/>
  <c r="F52"/>
  <c r="E52"/>
  <c r="A52"/>
  <c r="U51"/>
  <c r="T51"/>
  <c r="R51"/>
  <c r="Q51"/>
  <c r="S51"/>
  <c r="P51"/>
  <c r="O51"/>
  <c r="M51"/>
  <c r="L51"/>
  <c r="N51"/>
  <c r="K51"/>
  <c r="J51"/>
  <c r="I51"/>
  <c r="H51"/>
  <c r="G51"/>
  <c r="F51"/>
  <c r="E51"/>
  <c r="A51"/>
  <c r="U50"/>
  <c r="T50"/>
  <c r="R50"/>
  <c r="Q50"/>
  <c r="S50"/>
  <c r="P50"/>
  <c r="O50"/>
  <c r="M50"/>
  <c r="L50"/>
  <c r="N50"/>
  <c r="K50"/>
  <c r="J50"/>
  <c r="I50"/>
  <c r="H50"/>
  <c r="G50"/>
  <c r="F50"/>
  <c r="E50"/>
  <c r="A50"/>
  <c r="U49"/>
  <c r="T49"/>
  <c r="R49"/>
  <c r="Q49"/>
  <c r="S49"/>
  <c r="P49"/>
  <c r="O49"/>
  <c r="M49"/>
  <c r="L49"/>
  <c r="N49"/>
  <c r="K49"/>
  <c r="J49"/>
  <c r="I49"/>
  <c r="H49"/>
  <c r="G49"/>
  <c r="F49"/>
  <c r="E49"/>
  <c r="A49"/>
  <c r="U48"/>
  <c r="T48"/>
  <c r="R48"/>
  <c r="Q48"/>
  <c r="S48"/>
  <c r="P48"/>
  <c r="O48"/>
  <c r="M48"/>
  <c r="L48"/>
  <c r="N48"/>
  <c r="K48"/>
  <c r="J48"/>
  <c r="I48"/>
  <c r="H48"/>
  <c r="G48"/>
  <c r="F48"/>
  <c r="E48"/>
  <c r="A48"/>
  <c r="U47"/>
  <c r="T47"/>
  <c r="S47"/>
  <c r="R47"/>
  <c r="P47"/>
  <c r="O47"/>
  <c r="N47"/>
  <c r="M47"/>
  <c r="K47"/>
  <c r="I47"/>
  <c r="H47"/>
  <c r="G47"/>
  <c r="F47"/>
  <c r="E47"/>
  <c r="D47"/>
  <c r="A47"/>
  <c r="U46"/>
  <c r="T46"/>
  <c r="R46"/>
  <c r="Q46"/>
  <c r="S46"/>
  <c r="P46"/>
  <c r="O46"/>
  <c r="M46"/>
  <c r="L46"/>
  <c r="N46"/>
  <c r="K46"/>
  <c r="J46"/>
  <c r="I46"/>
  <c r="H46"/>
  <c r="G46"/>
  <c r="F46"/>
  <c r="E46"/>
  <c r="A46"/>
  <c r="U45"/>
  <c r="T45"/>
  <c r="R45"/>
  <c r="Q45"/>
  <c r="S45"/>
  <c r="P45"/>
  <c r="O45"/>
  <c r="M45"/>
  <c r="L45"/>
  <c r="N45"/>
  <c r="K45"/>
  <c r="J45"/>
  <c r="I45"/>
  <c r="H45"/>
  <c r="G45"/>
  <c r="F45"/>
  <c r="E45"/>
  <c r="A45"/>
  <c r="U44"/>
  <c r="T44"/>
  <c r="R44"/>
  <c r="Q44"/>
  <c r="S44"/>
  <c r="P44"/>
  <c r="O44"/>
  <c r="M44"/>
  <c r="L44"/>
  <c r="N44"/>
  <c r="K44"/>
  <c r="J44"/>
  <c r="I44"/>
  <c r="H44"/>
  <c r="G44"/>
  <c r="F44"/>
  <c r="E44"/>
  <c r="A44"/>
  <c r="U43"/>
  <c r="T43"/>
  <c r="R43"/>
  <c r="Q43"/>
  <c r="S43"/>
  <c r="P43"/>
  <c r="O43"/>
  <c r="M43"/>
  <c r="L43"/>
  <c r="N43"/>
  <c r="K43"/>
  <c r="J43"/>
  <c r="I43"/>
  <c r="H43"/>
  <c r="G43"/>
  <c r="F43"/>
  <c r="E43"/>
  <c r="A43"/>
  <c r="U42"/>
  <c r="T42"/>
  <c r="R42"/>
  <c r="Q42"/>
  <c r="S42"/>
  <c r="P42"/>
  <c r="O42"/>
  <c r="M42"/>
  <c r="L42"/>
  <c r="N42"/>
  <c r="K42"/>
  <c r="J42"/>
  <c r="I42"/>
  <c r="H42"/>
  <c r="G42"/>
  <c r="F42"/>
  <c r="E42"/>
  <c r="A42"/>
  <c r="U41"/>
  <c r="T41"/>
  <c r="R41"/>
  <c r="Q41"/>
  <c r="S41"/>
  <c r="P41"/>
  <c r="O41"/>
  <c r="M41"/>
  <c r="L41"/>
  <c r="N41"/>
  <c r="K41"/>
  <c r="J41"/>
  <c r="I41"/>
  <c r="H41"/>
  <c r="G41"/>
  <c r="F41"/>
  <c r="E41"/>
  <c r="A41"/>
  <c r="U40"/>
  <c r="T40"/>
  <c r="R40"/>
  <c r="Q40"/>
  <c r="S40"/>
  <c r="P40"/>
  <c r="O40"/>
  <c r="M40"/>
  <c r="L40"/>
  <c r="N40"/>
  <c r="K40"/>
  <c r="J40"/>
  <c r="I40"/>
  <c r="H40"/>
  <c r="G40"/>
  <c r="F40"/>
  <c r="E40"/>
  <c r="A40"/>
  <c r="U39"/>
  <c r="T39"/>
  <c r="S39"/>
  <c r="R39"/>
  <c r="P39"/>
  <c r="O39"/>
  <c r="N39"/>
  <c r="M39"/>
  <c r="K39"/>
  <c r="I39"/>
  <c r="H39"/>
  <c r="G39"/>
  <c r="F39"/>
  <c r="E39"/>
  <c r="D39"/>
  <c r="A39"/>
  <c r="U38"/>
  <c r="T38"/>
  <c r="R38"/>
  <c r="Q38"/>
  <c r="S38"/>
  <c r="P38"/>
  <c r="O38"/>
  <c r="M38"/>
  <c r="L38"/>
  <c r="N38"/>
  <c r="K38"/>
  <c r="J38"/>
  <c r="I38"/>
  <c r="H38"/>
  <c r="G38"/>
  <c r="F38"/>
  <c r="E38"/>
  <c r="A38"/>
  <c r="U37"/>
  <c r="T37"/>
  <c r="R37"/>
  <c r="Q37"/>
  <c r="S37"/>
  <c r="P37"/>
  <c r="O37"/>
  <c r="M37"/>
  <c r="L37"/>
  <c r="N37"/>
  <c r="K37"/>
  <c r="J37"/>
  <c r="I37"/>
  <c r="H37"/>
  <c r="G37"/>
  <c r="F37"/>
  <c r="E37"/>
  <c r="A37"/>
  <c r="U36"/>
  <c r="T36"/>
  <c r="R36"/>
  <c r="Q36"/>
  <c r="S36"/>
  <c r="P36"/>
  <c r="O36"/>
  <c r="M36"/>
  <c r="L36"/>
  <c r="N36"/>
  <c r="K36"/>
  <c r="J36"/>
  <c r="I36"/>
  <c r="H36"/>
  <c r="G36"/>
  <c r="F36"/>
  <c r="E36"/>
  <c r="A36"/>
  <c r="U35"/>
  <c r="T35"/>
  <c r="R35"/>
  <c r="Q35"/>
  <c r="S35"/>
  <c r="P35"/>
  <c r="O35"/>
  <c r="M35"/>
  <c r="L35"/>
  <c r="N35"/>
  <c r="K35"/>
  <c r="J35"/>
  <c r="I35"/>
  <c r="H35"/>
  <c r="G35"/>
  <c r="F35"/>
  <c r="E35"/>
  <c r="A35"/>
  <c r="U34"/>
  <c r="T34"/>
  <c r="R34"/>
  <c r="Q34"/>
  <c r="S34"/>
  <c r="P34"/>
  <c r="O34"/>
  <c r="M34"/>
  <c r="L34"/>
  <c r="N34"/>
  <c r="K34"/>
  <c r="J34"/>
  <c r="I34"/>
  <c r="H34"/>
  <c r="G34"/>
  <c r="F34"/>
  <c r="E34"/>
  <c r="A34"/>
  <c r="U33"/>
  <c r="T33"/>
  <c r="R33"/>
  <c r="Q33"/>
  <c r="S33"/>
  <c r="P33"/>
  <c r="O33"/>
  <c r="M33"/>
  <c r="L33"/>
  <c r="N33"/>
  <c r="K33"/>
  <c r="J33"/>
  <c r="I33"/>
  <c r="H33"/>
  <c r="G33"/>
  <c r="F33"/>
  <c r="E33"/>
  <c r="A33"/>
  <c r="U32"/>
  <c r="T32"/>
  <c r="R32"/>
  <c r="Q32"/>
  <c r="S32"/>
  <c r="P32"/>
  <c r="O32"/>
  <c r="M32"/>
  <c r="L32"/>
  <c r="N32"/>
  <c r="K32"/>
  <c r="J32"/>
  <c r="I32"/>
  <c r="H32"/>
  <c r="G32"/>
  <c r="F32"/>
  <c r="E32"/>
  <c r="A32"/>
  <c r="U31"/>
  <c r="T31"/>
  <c r="R31"/>
  <c r="Q31"/>
  <c r="S31"/>
  <c r="P31"/>
  <c r="O31"/>
  <c r="M31"/>
  <c r="L31"/>
  <c r="N31"/>
  <c r="K31"/>
  <c r="J31"/>
  <c r="I31"/>
  <c r="H31"/>
  <c r="G31"/>
  <c r="F31"/>
  <c r="E31"/>
  <c r="A31"/>
  <c r="G30"/>
  <c r="A30"/>
  <c r="U29"/>
  <c r="T29"/>
  <c r="S29"/>
  <c r="R29"/>
  <c r="P29"/>
  <c r="O29"/>
  <c r="N29"/>
  <c r="M29"/>
  <c r="K29"/>
  <c r="I29"/>
  <c r="H29"/>
  <c r="G29"/>
  <c r="F29"/>
  <c r="E29"/>
  <c r="D29"/>
  <c r="A29"/>
  <c r="U28"/>
  <c r="T28"/>
  <c r="R28"/>
  <c r="Q28"/>
  <c r="S28"/>
  <c r="P28"/>
  <c r="O28"/>
  <c r="M28"/>
  <c r="L28"/>
  <c r="N28"/>
  <c r="K28"/>
  <c r="J28"/>
  <c r="I28"/>
  <c r="H28"/>
  <c r="G28"/>
  <c r="F28"/>
  <c r="E28"/>
  <c r="A28"/>
  <c r="U27"/>
  <c r="T27"/>
  <c r="R27"/>
  <c r="Q27"/>
  <c r="S27"/>
  <c r="P27"/>
  <c r="O27"/>
  <c r="M27"/>
  <c r="L27"/>
  <c r="N27"/>
  <c r="K27"/>
  <c r="J27"/>
  <c r="I27"/>
  <c r="H27"/>
  <c r="G27"/>
  <c r="F27"/>
  <c r="E27"/>
  <c r="A27"/>
  <c r="U26"/>
  <c r="T26"/>
  <c r="S26"/>
  <c r="R26"/>
  <c r="P26"/>
  <c r="O26"/>
  <c r="N26"/>
  <c r="M26"/>
  <c r="K26"/>
  <c r="I26"/>
  <c r="H26"/>
  <c r="G26"/>
  <c r="F26"/>
  <c r="E26"/>
  <c r="D26"/>
  <c r="A26"/>
  <c r="U25"/>
  <c r="T25"/>
  <c r="R25"/>
  <c r="Q25"/>
  <c r="S25"/>
  <c r="P25"/>
  <c r="O25"/>
  <c r="M25"/>
  <c r="L25"/>
  <c r="N25"/>
  <c r="K25"/>
  <c r="J25"/>
  <c r="I25"/>
  <c r="H25"/>
  <c r="G25"/>
  <c r="F25"/>
  <c r="E25"/>
  <c r="A25"/>
  <c r="U24"/>
  <c r="T24"/>
  <c r="R24"/>
  <c r="Q24"/>
  <c r="S24"/>
  <c r="P24"/>
  <c r="O24"/>
  <c r="M24"/>
  <c r="L24"/>
  <c r="N24"/>
  <c r="K24"/>
  <c r="J24"/>
  <c r="I24"/>
  <c r="H24"/>
  <c r="G24"/>
  <c r="F24"/>
  <c r="E24"/>
  <c r="A24"/>
  <c r="U23"/>
  <c r="T23"/>
  <c r="R23"/>
  <c r="Q23"/>
  <c r="S23"/>
  <c r="P23"/>
  <c r="O23"/>
  <c r="M23"/>
  <c r="L23"/>
  <c r="N23"/>
  <c r="K23"/>
  <c r="J23"/>
  <c r="I23"/>
  <c r="H23"/>
  <c r="G23"/>
  <c r="F23"/>
  <c r="E23"/>
  <c r="A23"/>
  <c r="U22"/>
  <c r="T22"/>
  <c r="R22"/>
  <c r="Q22"/>
  <c r="S22"/>
  <c r="P22"/>
  <c r="O22"/>
  <c r="M22"/>
  <c r="L22"/>
  <c r="N22"/>
  <c r="K22"/>
  <c r="J22"/>
  <c r="I22"/>
  <c r="H22"/>
  <c r="G22"/>
  <c r="F22"/>
  <c r="E22"/>
  <c r="A22"/>
  <c r="U21"/>
  <c r="T21"/>
  <c r="R21"/>
  <c r="Q21"/>
  <c r="S21"/>
  <c r="P21"/>
  <c r="O21"/>
  <c r="M21"/>
  <c r="L21"/>
  <c r="N21"/>
  <c r="K21"/>
  <c r="J21"/>
  <c r="I21"/>
  <c r="H21"/>
  <c r="G21"/>
  <c r="F21"/>
  <c r="E21"/>
  <c r="A21"/>
  <c r="U20"/>
  <c r="T20"/>
  <c r="R20"/>
  <c r="Q20"/>
  <c r="S20"/>
  <c r="P20"/>
  <c r="O20"/>
  <c r="M20"/>
  <c r="L20"/>
  <c r="N20"/>
  <c r="K20"/>
  <c r="J20"/>
  <c r="I20"/>
  <c r="H20"/>
  <c r="G20"/>
  <c r="F20"/>
  <c r="E20"/>
  <c r="A20"/>
  <c r="U19"/>
  <c r="T19"/>
  <c r="R19"/>
  <c r="Q19"/>
  <c r="S19"/>
  <c r="P19"/>
  <c r="O19"/>
  <c r="M19"/>
  <c r="L19"/>
  <c r="N19"/>
  <c r="K19"/>
  <c r="J19"/>
  <c r="I19"/>
  <c r="H19"/>
  <c r="G19"/>
  <c r="F19"/>
  <c r="E19"/>
  <c r="A19"/>
  <c r="U18"/>
  <c r="T18"/>
  <c r="S18"/>
  <c r="R18"/>
  <c r="P18"/>
  <c r="O18"/>
  <c r="N18"/>
  <c r="M18"/>
  <c r="K18"/>
  <c r="I18"/>
  <c r="H18"/>
  <c r="G18"/>
  <c r="F18"/>
  <c r="E18"/>
  <c r="D18"/>
  <c r="A18"/>
  <c r="U17"/>
  <c r="T17"/>
  <c r="R17"/>
  <c r="Q17"/>
  <c r="S17"/>
  <c r="P17"/>
  <c r="O17"/>
  <c r="M17"/>
  <c r="L17"/>
  <c r="N17"/>
  <c r="K17"/>
  <c r="J17"/>
  <c r="I17"/>
  <c r="H17"/>
  <c r="G17"/>
  <c r="F17"/>
  <c r="E17"/>
  <c r="A17"/>
  <c r="U16"/>
  <c r="T16"/>
  <c r="R16"/>
  <c r="Q16"/>
  <c r="S16"/>
  <c r="P16"/>
  <c r="O16"/>
  <c r="M16"/>
  <c r="L16"/>
  <c r="N16"/>
  <c r="K16"/>
  <c r="J16"/>
  <c r="I16"/>
  <c r="H16"/>
  <c r="G16"/>
  <c r="F16"/>
  <c r="E16"/>
  <c r="A16"/>
  <c r="U15"/>
  <c r="T15"/>
  <c r="R15"/>
  <c r="Q15"/>
  <c r="S15"/>
  <c r="P15"/>
  <c r="O15"/>
  <c r="M15"/>
  <c r="L15"/>
  <c r="N15"/>
  <c r="K15"/>
  <c r="J15"/>
  <c r="I15"/>
  <c r="H15"/>
  <c r="G15"/>
  <c r="F15"/>
  <c r="E15"/>
  <c r="A15"/>
  <c r="U14"/>
  <c r="T14"/>
  <c r="R14"/>
  <c r="Q14"/>
  <c r="S14"/>
  <c r="P14"/>
  <c r="O14"/>
  <c r="M14"/>
  <c r="L14"/>
  <c r="N14"/>
  <c r="K14"/>
  <c r="J14"/>
  <c r="I14"/>
  <c r="H14"/>
  <c r="G14"/>
  <c r="F14"/>
  <c r="E14"/>
  <c r="A14"/>
  <c r="U13"/>
  <c r="T13"/>
  <c r="R13"/>
  <c r="Q13"/>
  <c r="S13"/>
  <c r="P13"/>
  <c r="O13"/>
  <c r="M13"/>
  <c r="L13"/>
  <c r="N13"/>
  <c r="K13"/>
  <c r="J13"/>
  <c r="I13"/>
  <c r="H13"/>
  <c r="G13"/>
  <c r="F13"/>
  <c r="E13"/>
  <c r="A13"/>
  <c r="U12"/>
  <c r="T12"/>
  <c r="R12"/>
  <c r="Q12"/>
  <c r="S12"/>
  <c r="P12"/>
  <c r="O12"/>
  <c r="M12"/>
  <c r="L12"/>
  <c r="N12"/>
  <c r="K12"/>
  <c r="J12"/>
  <c r="I12"/>
  <c r="H12"/>
  <c r="G12"/>
  <c r="F12"/>
  <c r="E12"/>
  <c r="A12"/>
  <c r="U11"/>
  <c r="T11"/>
  <c r="R11"/>
  <c r="Q11"/>
  <c r="S11"/>
  <c r="P11"/>
  <c r="O11"/>
  <c r="M11"/>
  <c r="L11"/>
  <c r="N11"/>
  <c r="K11"/>
  <c r="J11"/>
  <c r="I11"/>
  <c r="H11"/>
  <c r="G11"/>
  <c r="F11"/>
  <c r="E11"/>
  <c r="A11"/>
  <c r="U10"/>
  <c r="T10"/>
  <c r="R10"/>
  <c r="Q10"/>
  <c r="S10"/>
  <c r="P10"/>
  <c r="O10"/>
  <c r="M10"/>
  <c r="L10"/>
  <c r="N10"/>
  <c r="K10"/>
  <c r="J10"/>
  <c r="I10"/>
  <c r="H10"/>
  <c r="G10"/>
  <c r="F10"/>
  <c r="E10"/>
  <c r="A10"/>
  <c r="U9"/>
  <c r="T9"/>
  <c r="R9"/>
  <c r="Q9"/>
  <c r="S9"/>
  <c r="P9"/>
  <c r="O9"/>
  <c r="M9"/>
  <c r="L9"/>
  <c r="N9"/>
  <c r="K9"/>
  <c r="J9"/>
  <c r="I9"/>
  <c r="H9"/>
  <c r="G9"/>
  <c r="F9"/>
  <c r="E9"/>
  <c r="A9"/>
  <c r="U8"/>
  <c r="T8"/>
  <c r="R8"/>
  <c r="Q8"/>
  <c r="S8"/>
  <c r="P8"/>
  <c r="O8"/>
  <c r="M8"/>
  <c r="L8"/>
  <c r="N8"/>
  <c r="K8"/>
  <c r="J8"/>
  <c r="I8"/>
  <c r="H8"/>
  <c r="G8"/>
  <c r="F8"/>
  <c r="E8"/>
  <c r="A8"/>
  <c r="G7"/>
  <c r="A7"/>
  <c r="G6"/>
  <c r="A6"/>
  <c r="F40" i="7"/>
  <c r="C40"/>
  <c r="F37"/>
  <c r="C37"/>
  <c r="H34"/>
  <c r="C34"/>
  <c r="D31"/>
  <c r="H28"/>
  <c r="C28"/>
  <c r="H27"/>
  <c r="C27"/>
  <c r="I25"/>
  <c r="H25"/>
  <c r="G25"/>
  <c r="F25"/>
  <c r="E25"/>
  <c r="D25"/>
  <c r="I24"/>
  <c r="H24"/>
  <c r="J24" s="1"/>
  <c r="G24"/>
  <c r="F24"/>
  <c r="E24"/>
  <c r="D24"/>
  <c r="C24"/>
  <c r="B24"/>
  <c r="E17"/>
  <c r="D17"/>
  <c r="D15"/>
  <c r="D13"/>
  <c r="D11"/>
  <c r="D8"/>
  <c r="B4"/>
  <c r="A1"/>
  <c r="A37" i="6"/>
  <c r="D36"/>
  <c r="C36"/>
  <c r="B36"/>
  <c r="A36"/>
  <c r="D35"/>
  <c r="C35"/>
  <c r="B35"/>
  <c r="A35"/>
  <c r="D34"/>
  <c r="C34"/>
  <c r="B34"/>
  <c r="A34"/>
  <c r="D33"/>
  <c r="C33"/>
  <c r="B33"/>
  <c r="A33"/>
  <c r="A32"/>
  <c r="D31"/>
  <c r="C31"/>
  <c r="B31"/>
  <c r="A31"/>
  <c r="D30"/>
  <c r="C30"/>
  <c r="B30"/>
  <c r="A30"/>
  <c r="D29"/>
  <c r="C29"/>
  <c r="B29"/>
  <c r="A29"/>
  <c r="D28"/>
  <c r="C28"/>
  <c r="B28"/>
  <c r="A28"/>
  <c r="D27"/>
  <c r="C27"/>
  <c r="B27"/>
  <c r="A27"/>
  <c r="D26"/>
  <c r="C26"/>
  <c r="B26"/>
  <c r="A26"/>
  <c r="D25"/>
  <c r="C25"/>
  <c r="B25"/>
  <c r="A25"/>
  <c r="D24"/>
  <c r="C24"/>
  <c r="B24"/>
  <c r="A24"/>
  <c r="D23"/>
  <c r="C23"/>
  <c r="B23"/>
  <c r="A23"/>
  <c r="D22"/>
  <c r="C22"/>
  <c r="B22"/>
  <c r="A22"/>
  <c r="D21"/>
  <c r="C21"/>
  <c r="B21"/>
  <c r="A21"/>
  <c r="A20"/>
  <c r="D19"/>
  <c r="C19"/>
  <c r="B19"/>
  <c r="A19"/>
  <c r="D18"/>
  <c r="C18"/>
  <c r="B18"/>
  <c r="A18"/>
  <c r="D17"/>
  <c r="C17"/>
  <c r="B17"/>
  <c r="A17"/>
  <c r="D16"/>
  <c r="C16"/>
  <c r="B16"/>
  <c r="A16"/>
  <c r="D15"/>
  <c r="C15"/>
  <c r="B15"/>
  <c r="A15"/>
  <c r="D14"/>
  <c r="C14"/>
  <c r="B14"/>
  <c r="A14"/>
  <c r="D13"/>
  <c r="C13"/>
  <c r="B13"/>
  <c r="A13"/>
  <c r="D12"/>
  <c r="C12"/>
  <c r="B12"/>
  <c r="A12"/>
  <c r="D11"/>
  <c r="C11"/>
  <c r="B11"/>
  <c r="A11"/>
  <c r="D10"/>
  <c r="C10"/>
  <c r="B10"/>
  <c r="A10"/>
  <c r="A9"/>
  <c r="A8"/>
  <c r="A4"/>
  <c r="A3"/>
  <c r="A1"/>
  <c r="H224" i="5"/>
  <c r="H221"/>
  <c r="C224"/>
  <c r="C221"/>
  <c r="C218"/>
  <c r="C217"/>
  <c r="I216"/>
  <c r="J216"/>
  <c r="I215"/>
  <c r="J215"/>
  <c r="J30"/>
  <c r="J28"/>
  <c r="J27"/>
  <c r="J26"/>
  <c r="J25"/>
  <c r="J24"/>
  <c r="J23"/>
  <c r="I30"/>
  <c r="I214"/>
  <c r="J214"/>
  <c r="I213"/>
  <c r="J213"/>
  <c r="A212"/>
  <c r="I210"/>
  <c r="J210"/>
  <c r="I209"/>
  <c r="J209"/>
  <c r="I207"/>
  <c r="J207"/>
  <c r="I206"/>
  <c r="J206"/>
  <c r="A205"/>
  <c r="AA203"/>
  <c r="Z203"/>
  <c r="Y203"/>
  <c r="I202"/>
  <c r="H202"/>
  <c r="G202"/>
  <c r="E202"/>
  <c r="J201"/>
  <c r="E201"/>
  <c r="J200"/>
  <c r="E200"/>
  <c r="J199"/>
  <c r="E199"/>
  <c r="K198"/>
  <c r="J198"/>
  <c r="H198"/>
  <c r="AA198"/>
  <c r="Z198"/>
  <c r="Y198"/>
  <c r="I198"/>
  <c r="X198" s="1"/>
  <c r="F198"/>
  <c r="V198"/>
  <c r="T198"/>
  <c r="R198"/>
  <c r="U198"/>
  <c r="S198"/>
  <c r="Q198"/>
  <c r="E198"/>
  <c r="D198"/>
  <c r="B198"/>
  <c r="A198"/>
  <c r="K197"/>
  <c r="J197"/>
  <c r="I197"/>
  <c r="H197"/>
  <c r="G197"/>
  <c r="F197"/>
  <c r="K196"/>
  <c r="J196"/>
  <c r="I196"/>
  <c r="W196" s="1"/>
  <c r="H196"/>
  <c r="G196"/>
  <c r="F196"/>
  <c r="K195"/>
  <c r="J195"/>
  <c r="I195"/>
  <c r="H195"/>
  <c r="G195"/>
  <c r="F195"/>
  <c r="K194"/>
  <c r="J194"/>
  <c r="W194"/>
  <c r="I194"/>
  <c r="H194"/>
  <c r="G194"/>
  <c r="F194"/>
  <c r="C193"/>
  <c r="V192"/>
  <c r="K201" s="1"/>
  <c r="T192"/>
  <c r="K200" s="1"/>
  <c r="R192"/>
  <c r="K199" s="1"/>
  <c r="U192"/>
  <c r="I201" s="1"/>
  <c r="S192"/>
  <c r="I200" s="1"/>
  <c r="Q192"/>
  <c r="I199" s="1"/>
  <c r="E192"/>
  <c r="D192"/>
  <c r="B192"/>
  <c r="A192"/>
  <c r="AA191"/>
  <c r="Z191"/>
  <c r="Y191"/>
  <c r="I190"/>
  <c r="H190"/>
  <c r="G190"/>
  <c r="E190"/>
  <c r="J189"/>
  <c r="E189"/>
  <c r="J188"/>
  <c r="E188"/>
  <c r="J187"/>
  <c r="E187"/>
  <c r="K186"/>
  <c r="J186"/>
  <c r="H186"/>
  <c r="AA186"/>
  <c r="Z186"/>
  <c r="Y186"/>
  <c r="I186"/>
  <c r="X186" s="1"/>
  <c r="F186"/>
  <c r="V186"/>
  <c r="T186"/>
  <c r="R186"/>
  <c r="U186"/>
  <c r="S186"/>
  <c r="Q186"/>
  <c r="E186"/>
  <c r="D186"/>
  <c r="B186"/>
  <c r="A186"/>
  <c r="K185"/>
  <c r="J185"/>
  <c r="I185"/>
  <c r="H185"/>
  <c r="G185"/>
  <c r="F185"/>
  <c r="K184"/>
  <c r="J184"/>
  <c r="W184"/>
  <c r="I184"/>
  <c r="H184"/>
  <c r="G184"/>
  <c r="F184"/>
  <c r="K183"/>
  <c r="J183"/>
  <c r="I183"/>
  <c r="H183"/>
  <c r="G183"/>
  <c r="F183"/>
  <c r="K182"/>
  <c r="J182"/>
  <c r="I182"/>
  <c r="W182" s="1"/>
  <c r="H182"/>
  <c r="G182"/>
  <c r="F182"/>
  <c r="C181"/>
  <c r="V180"/>
  <c r="K189" s="1"/>
  <c r="T180"/>
  <c r="K188" s="1"/>
  <c r="R180"/>
  <c r="K187" s="1"/>
  <c r="U180"/>
  <c r="I189" s="1"/>
  <c r="S180"/>
  <c r="I188" s="1"/>
  <c r="Q180"/>
  <c r="I187" s="1"/>
  <c r="E180"/>
  <c r="D180"/>
  <c r="B180"/>
  <c r="A180"/>
  <c r="A179"/>
  <c r="I177"/>
  <c r="J177"/>
  <c r="I176"/>
  <c r="J176"/>
  <c r="A175"/>
  <c r="AA173"/>
  <c r="Z173"/>
  <c r="Y173"/>
  <c r="I172"/>
  <c r="H172"/>
  <c r="G172"/>
  <c r="E172"/>
  <c r="J171"/>
  <c r="E171"/>
  <c r="J170"/>
  <c r="E170"/>
  <c r="J169"/>
  <c r="E169"/>
  <c r="K168"/>
  <c r="J168"/>
  <c r="H168"/>
  <c r="AA168"/>
  <c r="Z168"/>
  <c r="Y168"/>
  <c r="X168"/>
  <c r="I168"/>
  <c r="F168"/>
  <c r="V168"/>
  <c r="T168"/>
  <c r="R168"/>
  <c r="U168"/>
  <c r="S168"/>
  <c r="Q168"/>
  <c r="E168"/>
  <c r="D168"/>
  <c r="B168"/>
  <c r="A168"/>
  <c r="K167"/>
  <c r="J167"/>
  <c r="H167"/>
  <c r="AA167"/>
  <c r="Z167"/>
  <c r="Y167"/>
  <c r="I167"/>
  <c r="X167" s="1"/>
  <c r="F167"/>
  <c r="V167"/>
  <c r="T167"/>
  <c r="R167"/>
  <c r="U167"/>
  <c r="S167"/>
  <c r="Q167"/>
  <c r="E167"/>
  <c r="D167"/>
  <c r="B167"/>
  <c r="A167"/>
  <c r="K166"/>
  <c r="J166"/>
  <c r="H166"/>
  <c r="AA166"/>
  <c r="Z166"/>
  <c r="Y166"/>
  <c r="I166"/>
  <c r="X166" s="1"/>
  <c r="F166"/>
  <c r="V166"/>
  <c r="T166"/>
  <c r="R166"/>
  <c r="U166"/>
  <c r="S166"/>
  <c r="Q166"/>
  <c r="E166"/>
  <c r="D166"/>
  <c r="B166"/>
  <c r="A166"/>
  <c r="K165"/>
  <c r="J165"/>
  <c r="I165"/>
  <c r="H165"/>
  <c r="G165"/>
  <c r="F165"/>
  <c r="K164"/>
  <c r="J164"/>
  <c r="I164"/>
  <c r="W164" s="1"/>
  <c r="H164"/>
  <c r="G164"/>
  <c r="F164"/>
  <c r="K163"/>
  <c r="J163"/>
  <c r="I163"/>
  <c r="H163"/>
  <c r="G163"/>
  <c r="F163"/>
  <c r="K162"/>
  <c r="J162"/>
  <c r="W162"/>
  <c r="I162"/>
  <c r="H162"/>
  <c r="G162"/>
  <c r="F162"/>
  <c r="C161"/>
  <c r="V160"/>
  <c r="K171" s="1"/>
  <c r="T160"/>
  <c r="K170" s="1"/>
  <c r="R160"/>
  <c r="K169" s="1"/>
  <c r="U160"/>
  <c r="I171" s="1"/>
  <c r="S160"/>
  <c r="I170" s="1"/>
  <c r="Q160"/>
  <c r="I169" s="1"/>
  <c r="E160"/>
  <c r="D160"/>
  <c r="B160"/>
  <c r="A160"/>
  <c r="AA159"/>
  <c r="Z159"/>
  <c r="Y159"/>
  <c r="I158"/>
  <c r="H158"/>
  <c r="G158"/>
  <c r="E158"/>
  <c r="J157"/>
  <c r="E157"/>
  <c r="J156"/>
  <c r="E156"/>
  <c r="J155"/>
  <c r="E155"/>
  <c r="K154"/>
  <c r="J154"/>
  <c r="H154"/>
  <c r="AA154"/>
  <c r="Z154"/>
  <c r="Y154"/>
  <c r="I154"/>
  <c r="X154" s="1"/>
  <c r="F154"/>
  <c r="V154"/>
  <c r="T154"/>
  <c r="R154"/>
  <c r="U154"/>
  <c r="S154"/>
  <c r="Q154"/>
  <c r="E154"/>
  <c r="D154"/>
  <c r="B154"/>
  <c r="A154"/>
  <c r="K153"/>
  <c r="J153"/>
  <c r="I153"/>
  <c r="H153"/>
  <c r="G153"/>
  <c r="F153"/>
  <c r="K152"/>
  <c r="J152"/>
  <c r="I152"/>
  <c r="W152" s="1"/>
  <c r="H152"/>
  <c r="G152"/>
  <c r="F152"/>
  <c r="K151"/>
  <c r="J151"/>
  <c r="I151"/>
  <c r="H151"/>
  <c r="G151"/>
  <c r="F151"/>
  <c r="K150"/>
  <c r="J150"/>
  <c r="I150"/>
  <c r="H150"/>
  <c r="G150"/>
  <c r="F150"/>
  <c r="C149"/>
  <c r="V148"/>
  <c r="K157" s="1"/>
  <c r="T148"/>
  <c r="K156" s="1"/>
  <c r="R148"/>
  <c r="K155" s="1"/>
  <c r="U148"/>
  <c r="I157" s="1"/>
  <c r="S148"/>
  <c r="I156" s="1"/>
  <c r="Q148"/>
  <c r="I155" s="1"/>
  <c r="E148"/>
  <c r="D148"/>
  <c r="B148"/>
  <c r="A148"/>
  <c r="AA147"/>
  <c r="Z147"/>
  <c r="Y147"/>
  <c r="I146"/>
  <c r="H146"/>
  <c r="G146"/>
  <c r="E146"/>
  <c r="J145"/>
  <c r="E145"/>
  <c r="J144"/>
  <c r="E144"/>
  <c r="J143"/>
  <c r="E143"/>
  <c r="K142"/>
  <c r="J142"/>
  <c r="H142"/>
  <c r="AA142"/>
  <c r="Z142"/>
  <c r="Y142"/>
  <c r="X142"/>
  <c r="I142"/>
  <c r="F142"/>
  <c r="V142"/>
  <c r="T142"/>
  <c r="R142"/>
  <c r="U142"/>
  <c r="S142"/>
  <c r="Q142"/>
  <c r="E142"/>
  <c r="D142"/>
  <c r="B142"/>
  <c r="A142"/>
  <c r="K141"/>
  <c r="J141"/>
  <c r="I141"/>
  <c r="H141"/>
  <c r="G141"/>
  <c r="F141"/>
  <c r="K140"/>
  <c r="J140"/>
  <c r="I140"/>
  <c r="W140" s="1"/>
  <c r="H140"/>
  <c r="G140"/>
  <c r="F140"/>
  <c r="K139"/>
  <c r="J139"/>
  <c r="I139"/>
  <c r="H139"/>
  <c r="G139"/>
  <c r="F139"/>
  <c r="K138"/>
  <c r="J138"/>
  <c r="I138"/>
  <c r="H138"/>
  <c r="G138"/>
  <c r="F138"/>
  <c r="C137"/>
  <c r="V136"/>
  <c r="K145" s="1"/>
  <c r="T136"/>
  <c r="K144" s="1"/>
  <c r="R136"/>
  <c r="K143" s="1"/>
  <c r="U136"/>
  <c r="I145" s="1"/>
  <c r="S136"/>
  <c r="I144" s="1"/>
  <c r="Q136"/>
  <c r="I143" s="1"/>
  <c r="E136"/>
  <c r="D136"/>
  <c r="B136"/>
  <c r="A136"/>
  <c r="AA135"/>
  <c r="Z135"/>
  <c r="Y135"/>
  <c r="I134"/>
  <c r="H134"/>
  <c r="G134"/>
  <c r="E134"/>
  <c r="J133"/>
  <c r="E133"/>
  <c r="J132"/>
  <c r="E132"/>
  <c r="K131"/>
  <c r="J131"/>
  <c r="I131"/>
  <c r="W131" s="1"/>
  <c r="H131"/>
  <c r="G131"/>
  <c r="F131"/>
  <c r="C130"/>
  <c r="V129"/>
  <c r="T129"/>
  <c r="K133" s="1"/>
  <c r="R129"/>
  <c r="K132" s="1"/>
  <c r="U129"/>
  <c r="S129"/>
  <c r="I133" s="1"/>
  <c r="Q129"/>
  <c r="I132" s="1"/>
  <c r="E129"/>
  <c r="D129"/>
  <c r="B129"/>
  <c r="A129"/>
  <c r="AA128"/>
  <c r="Z128"/>
  <c r="Y128"/>
  <c r="I127"/>
  <c r="H127"/>
  <c r="G127"/>
  <c r="E127"/>
  <c r="J126"/>
  <c r="E126"/>
  <c r="J125"/>
  <c r="E125"/>
  <c r="K124"/>
  <c r="J124"/>
  <c r="I124"/>
  <c r="H124"/>
  <c r="G124"/>
  <c r="F124"/>
  <c r="C123"/>
  <c r="V122"/>
  <c r="T122"/>
  <c r="K126" s="1"/>
  <c r="R122"/>
  <c r="K125" s="1"/>
  <c r="U122"/>
  <c r="S122"/>
  <c r="I126" s="1"/>
  <c r="Q122"/>
  <c r="I125" s="1"/>
  <c r="E122"/>
  <c r="D122"/>
  <c r="B122"/>
  <c r="A122"/>
  <c r="AA121"/>
  <c r="Z121"/>
  <c r="Y121"/>
  <c r="I120"/>
  <c r="H120"/>
  <c r="G120"/>
  <c r="E120"/>
  <c r="J119"/>
  <c r="E119"/>
  <c r="J118"/>
  <c r="E118"/>
  <c r="J117"/>
  <c r="E117"/>
  <c r="K116"/>
  <c r="J116"/>
  <c r="I116"/>
  <c r="W116" s="1"/>
  <c r="H116"/>
  <c r="G116"/>
  <c r="F116"/>
  <c r="K115"/>
  <c r="J115"/>
  <c r="I115"/>
  <c r="H115"/>
  <c r="G115"/>
  <c r="F115"/>
  <c r="K114"/>
  <c r="J114"/>
  <c r="W114"/>
  <c r="I114"/>
  <c r="H114"/>
  <c r="G114"/>
  <c r="F114"/>
  <c r="C113"/>
  <c r="V112"/>
  <c r="K119" s="1"/>
  <c r="T112"/>
  <c r="K118" s="1"/>
  <c r="R112"/>
  <c r="K117" s="1"/>
  <c r="U112"/>
  <c r="I119" s="1"/>
  <c r="S112"/>
  <c r="I118" s="1"/>
  <c r="Q112"/>
  <c r="I117" s="1"/>
  <c r="E112"/>
  <c r="D112"/>
  <c r="B112"/>
  <c r="A112"/>
  <c r="A111"/>
  <c r="I109"/>
  <c r="J109"/>
  <c r="I108"/>
  <c r="J108"/>
  <c r="A107"/>
  <c r="AA105"/>
  <c r="Z105"/>
  <c r="Y105"/>
  <c r="I104"/>
  <c r="H104"/>
  <c r="G104"/>
  <c r="E104"/>
  <c r="J103"/>
  <c r="E103"/>
  <c r="J102"/>
  <c r="E102"/>
  <c r="J101"/>
  <c r="E101"/>
  <c r="K100"/>
  <c r="J100"/>
  <c r="H100"/>
  <c r="AA100"/>
  <c r="Z100"/>
  <c r="Y100"/>
  <c r="I100"/>
  <c r="X100" s="1"/>
  <c r="F100"/>
  <c r="V100"/>
  <c r="T100"/>
  <c r="R100"/>
  <c r="U100"/>
  <c r="S100"/>
  <c r="Q100"/>
  <c r="E100"/>
  <c r="D100"/>
  <c r="B100"/>
  <c r="A100"/>
  <c r="K99"/>
  <c r="J99"/>
  <c r="I99"/>
  <c r="H99"/>
  <c r="G99"/>
  <c r="F99"/>
  <c r="K98"/>
  <c r="J98"/>
  <c r="I98"/>
  <c r="W98" s="1"/>
  <c r="H98"/>
  <c r="G98"/>
  <c r="F98"/>
  <c r="K97"/>
  <c r="J97"/>
  <c r="I97"/>
  <c r="H97"/>
  <c r="G97"/>
  <c r="F97"/>
  <c r="K96"/>
  <c r="J96"/>
  <c r="W96"/>
  <c r="I96"/>
  <c r="H96"/>
  <c r="G96"/>
  <c r="F96"/>
  <c r="C95"/>
  <c r="V94"/>
  <c r="K103" s="1"/>
  <c r="T94"/>
  <c r="K102" s="1"/>
  <c r="R94"/>
  <c r="K101" s="1"/>
  <c r="U94"/>
  <c r="I103" s="1"/>
  <c r="S94"/>
  <c r="I102" s="1"/>
  <c r="Q94"/>
  <c r="I101" s="1"/>
  <c r="E94"/>
  <c r="D94"/>
  <c r="B94"/>
  <c r="A94"/>
  <c r="AA93"/>
  <c r="Z93"/>
  <c r="Y93"/>
  <c r="I92"/>
  <c r="H92"/>
  <c r="G92"/>
  <c r="E92"/>
  <c r="J91"/>
  <c r="E91"/>
  <c r="J90"/>
  <c r="E90"/>
  <c r="J89"/>
  <c r="E89"/>
  <c r="K88"/>
  <c r="J88"/>
  <c r="H88"/>
  <c r="AA88"/>
  <c r="Z88"/>
  <c r="Y88"/>
  <c r="I88"/>
  <c r="X88" s="1"/>
  <c r="F88"/>
  <c r="V88"/>
  <c r="T88"/>
  <c r="R88"/>
  <c r="U88"/>
  <c r="S88"/>
  <c r="Q88"/>
  <c r="E88"/>
  <c r="D88"/>
  <c r="B88"/>
  <c r="A88"/>
  <c r="K87"/>
  <c r="J87"/>
  <c r="I87"/>
  <c r="H87"/>
  <c r="G87"/>
  <c r="F87"/>
  <c r="K86"/>
  <c r="J86"/>
  <c r="I86"/>
  <c r="W86" s="1"/>
  <c r="H86"/>
  <c r="G86"/>
  <c r="F86"/>
  <c r="K85"/>
  <c r="J85"/>
  <c r="I85"/>
  <c r="H85"/>
  <c r="G85"/>
  <c r="F85"/>
  <c r="K84"/>
  <c r="J84"/>
  <c r="I84"/>
  <c r="H84"/>
  <c r="G84"/>
  <c r="F84"/>
  <c r="C83"/>
  <c r="V82"/>
  <c r="K91" s="1"/>
  <c r="T82"/>
  <c r="K90" s="1"/>
  <c r="R82"/>
  <c r="K89" s="1"/>
  <c r="U82"/>
  <c r="I91" s="1"/>
  <c r="S82"/>
  <c r="I90" s="1"/>
  <c r="Q82"/>
  <c r="I89" s="1"/>
  <c r="E82"/>
  <c r="D82"/>
  <c r="B82"/>
  <c r="A82"/>
  <c r="AA81"/>
  <c r="Z81"/>
  <c r="Y81"/>
  <c r="I80"/>
  <c r="H80"/>
  <c r="G80"/>
  <c r="E80"/>
  <c r="J79"/>
  <c r="E79"/>
  <c r="J78"/>
  <c r="E78"/>
  <c r="J77"/>
  <c r="E77"/>
  <c r="K76"/>
  <c r="J76"/>
  <c r="H76"/>
  <c r="AA76"/>
  <c r="Z76"/>
  <c r="Y76"/>
  <c r="I76"/>
  <c r="X76" s="1"/>
  <c r="F76"/>
  <c r="V76"/>
  <c r="T76"/>
  <c r="R76"/>
  <c r="U76"/>
  <c r="S76"/>
  <c r="Q76"/>
  <c r="E76"/>
  <c r="D76"/>
  <c r="B76"/>
  <c r="A76"/>
  <c r="K75"/>
  <c r="J75"/>
  <c r="I75"/>
  <c r="H75"/>
  <c r="G75"/>
  <c r="F75"/>
  <c r="K74"/>
  <c r="J74"/>
  <c r="I74"/>
  <c r="W74" s="1"/>
  <c r="H74"/>
  <c r="G74"/>
  <c r="F74"/>
  <c r="K73"/>
  <c r="J73"/>
  <c r="I73"/>
  <c r="H73"/>
  <c r="G73"/>
  <c r="F73"/>
  <c r="K72"/>
  <c r="J72"/>
  <c r="I72"/>
  <c r="H72"/>
  <c r="G72"/>
  <c r="F72"/>
  <c r="C71"/>
  <c r="V70"/>
  <c r="K79" s="1"/>
  <c r="T70"/>
  <c r="K78" s="1"/>
  <c r="R70"/>
  <c r="K77" s="1"/>
  <c r="U70"/>
  <c r="I79" s="1"/>
  <c r="S70"/>
  <c r="I78" s="1"/>
  <c r="Q70"/>
  <c r="I77" s="1"/>
  <c r="E70"/>
  <c r="D70"/>
  <c r="B70"/>
  <c r="A70"/>
  <c r="AA69"/>
  <c r="Z69"/>
  <c r="Y69"/>
  <c r="I68"/>
  <c r="H68"/>
  <c r="G68"/>
  <c r="E68"/>
  <c r="J67"/>
  <c r="E67"/>
  <c r="J66"/>
  <c r="E66"/>
  <c r="K65"/>
  <c r="J65"/>
  <c r="W65"/>
  <c r="I65"/>
  <c r="H65"/>
  <c r="G65"/>
  <c r="F65"/>
  <c r="C64"/>
  <c r="V63"/>
  <c r="T63"/>
  <c r="K67" s="1"/>
  <c r="R63"/>
  <c r="K66" s="1"/>
  <c r="U63"/>
  <c r="S63"/>
  <c r="I67" s="1"/>
  <c r="Q63"/>
  <c r="I66" s="1"/>
  <c r="E63"/>
  <c r="D63"/>
  <c r="B63"/>
  <c r="A63"/>
  <c r="AA62"/>
  <c r="Z62"/>
  <c r="Y62"/>
  <c r="I61"/>
  <c r="H61"/>
  <c r="G61"/>
  <c r="E61"/>
  <c r="J60"/>
  <c r="E60"/>
  <c r="J59"/>
  <c r="E59"/>
  <c r="J58"/>
  <c r="E58"/>
  <c r="K57"/>
  <c r="J57"/>
  <c r="I57"/>
  <c r="W57" s="1"/>
  <c r="H57"/>
  <c r="G57"/>
  <c r="F57"/>
  <c r="K56"/>
  <c r="J56"/>
  <c r="I56"/>
  <c r="H56"/>
  <c r="G56"/>
  <c r="F56"/>
  <c r="K55"/>
  <c r="J55"/>
  <c r="I55"/>
  <c r="H55"/>
  <c r="G55"/>
  <c r="F55"/>
  <c r="C54"/>
  <c r="V53"/>
  <c r="K60" s="1"/>
  <c r="T53"/>
  <c r="K59" s="1"/>
  <c r="R53"/>
  <c r="K58" s="1"/>
  <c r="U53"/>
  <c r="I60" s="1"/>
  <c r="S53"/>
  <c r="I59" s="1"/>
  <c r="Q53"/>
  <c r="I58" s="1"/>
  <c r="E53"/>
  <c r="D53"/>
  <c r="B53"/>
  <c r="A53"/>
  <c r="AA52"/>
  <c r="Z52"/>
  <c r="Y52"/>
  <c r="I51"/>
  <c r="H51"/>
  <c r="G51"/>
  <c r="E51"/>
  <c r="J50"/>
  <c r="E50"/>
  <c r="J49"/>
  <c r="E49"/>
  <c r="K48"/>
  <c r="J48"/>
  <c r="I48"/>
  <c r="H48"/>
  <c r="G48"/>
  <c r="F48"/>
  <c r="C47"/>
  <c r="V46"/>
  <c r="T46"/>
  <c r="K50" s="1"/>
  <c r="R46"/>
  <c r="K49" s="1"/>
  <c r="U46"/>
  <c r="S46"/>
  <c r="I50" s="1"/>
  <c r="Q46"/>
  <c r="I49" s="1"/>
  <c r="E46"/>
  <c r="D46"/>
  <c r="B46"/>
  <c r="A46"/>
  <c r="AA45"/>
  <c r="I27" s="1"/>
  <c r="Z45"/>
  <c r="I26" s="1"/>
  <c r="Y45"/>
  <c r="I25" s="1"/>
  <c r="I44"/>
  <c r="H44"/>
  <c r="G44"/>
  <c r="E44"/>
  <c r="J43"/>
  <c r="E43"/>
  <c r="J42"/>
  <c r="E42"/>
  <c r="J41"/>
  <c r="E41"/>
  <c r="K40"/>
  <c r="J40"/>
  <c r="I40"/>
  <c r="W40" s="1"/>
  <c r="H40"/>
  <c r="G40"/>
  <c r="F40"/>
  <c r="K39"/>
  <c r="J39"/>
  <c r="I39"/>
  <c r="H39"/>
  <c r="G39"/>
  <c r="F39"/>
  <c r="K38"/>
  <c r="J38"/>
  <c r="I38"/>
  <c r="H38"/>
  <c r="G38"/>
  <c r="F38"/>
  <c r="C37"/>
  <c r="V36"/>
  <c r="K43" s="1"/>
  <c r="T36"/>
  <c r="K42" s="1"/>
  <c r="R36"/>
  <c r="K41" s="1"/>
  <c r="U36"/>
  <c r="I43" s="1"/>
  <c r="S36"/>
  <c r="I42" s="1"/>
  <c r="Q36"/>
  <c r="I41" s="1"/>
  <c r="E36"/>
  <c r="D36"/>
  <c r="B36"/>
  <c r="A36"/>
  <c r="A35"/>
  <c r="A21"/>
  <c r="G6"/>
  <c r="B6"/>
  <c r="A1"/>
  <c r="A1" i="4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1" i="3"/>
  <c r="CY1"/>
  <c r="CZ1"/>
  <c r="DA1"/>
  <c r="DB1"/>
  <c r="DC1"/>
  <c r="A2"/>
  <c r="CY2"/>
  <c r="CZ2"/>
  <c r="DA2"/>
  <c r="DB2"/>
  <c r="DC2"/>
  <c r="A3"/>
  <c r="CY3"/>
  <c r="CZ3"/>
  <c r="DB3" s="1"/>
  <c r="DA3"/>
  <c r="DC3"/>
  <c r="A4"/>
  <c r="CY4"/>
  <c r="CZ4"/>
  <c r="DB4" s="1"/>
  <c r="DA4"/>
  <c r="DC4"/>
  <c r="A5"/>
  <c r="CY5"/>
  <c r="CZ5"/>
  <c r="DA5"/>
  <c r="DB5"/>
  <c r="DC5"/>
  <c r="A6"/>
  <c r="CY6"/>
  <c r="CZ6"/>
  <c r="DA6"/>
  <c r="DB6"/>
  <c r="DC6"/>
  <c r="A7"/>
  <c r="CY7"/>
  <c r="CZ7"/>
  <c r="DB7" s="1"/>
  <c r="DA7"/>
  <c r="DC7"/>
  <c r="A8"/>
  <c r="CY8"/>
  <c r="CZ8"/>
  <c r="DB8" s="1"/>
  <c r="DA8"/>
  <c r="DC8"/>
  <c r="A9"/>
  <c r="CY9"/>
  <c r="CZ9"/>
  <c r="DA9"/>
  <c r="DB9"/>
  <c r="DC9"/>
  <c r="A10"/>
  <c r="CY10"/>
  <c r="CZ10"/>
  <c r="DA10"/>
  <c r="DB10"/>
  <c r="DC10"/>
  <c r="A11"/>
  <c r="CY11"/>
  <c r="CZ11"/>
  <c r="DB11" s="1"/>
  <c r="DA11"/>
  <c r="DC11"/>
  <c r="A12"/>
  <c r="CY12"/>
  <c r="CZ12"/>
  <c r="DB12" s="1"/>
  <c r="DA12"/>
  <c r="DC12"/>
  <c r="A13"/>
  <c r="CY13"/>
  <c r="CZ13"/>
  <c r="DA13"/>
  <c r="DB13"/>
  <c r="DC13"/>
  <c r="A14"/>
  <c r="CY14"/>
  <c r="CZ14"/>
  <c r="DA14"/>
  <c r="DB14"/>
  <c r="DC14"/>
  <c r="A15"/>
  <c r="CY15"/>
  <c r="CZ15"/>
  <c r="DB15" s="1"/>
  <c r="DA15"/>
  <c r="DC15"/>
  <c r="A16"/>
  <c r="CY16"/>
  <c r="CZ16"/>
  <c r="DB16" s="1"/>
  <c r="DA16"/>
  <c r="DC16"/>
  <c r="A17"/>
  <c r="CY17"/>
  <c r="CZ17"/>
  <c r="DA17"/>
  <c r="DB17"/>
  <c r="DC17"/>
  <c r="A18"/>
  <c r="CY18"/>
  <c r="CZ18"/>
  <c r="DA18"/>
  <c r="DB18"/>
  <c r="DC18"/>
  <c r="A19"/>
  <c r="CY19"/>
  <c r="CZ19"/>
  <c r="DB19" s="1"/>
  <c r="DA19"/>
  <c r="DC19"/>
  <c r="A20"/>
  <c r="CY20"/>
  <c r="CZ20"/>
  <c r="DB20" s="1"/>
  <c r="DA20"/>
  <c r="DC20"/>
  <c r="A21"/>
  <c r="CY21"/>
  <c r="CZ21"/>
  <c r="DA21"/>
  <c r="DB21"/>
  <c r="DC21"/>
  <c r="A22"/>
  <c r="CY22"/>
  <c r="CZ22"/>
  <c r="DA22"/>
  <c r="DB22"/>
  <c r="DC22"/>
  <c r="A23"/>
  <c r="CY23"/>
  <c r="CZ23"/>
  <c r="DB23" s="1"/>
  <c r="DA23"/>
  <c r="DC23"/>
  <c r="A24"/>
  <c r="CY24"/>
  <c r="CZ24"/>
  <c r="DB24" s="1"/>
  <c r="DA24"/>
  <c r="DC24"/>
  <c r="A25"/>
  <c r="CY25"/>
  <c r="CZ25"/>
  <c r="DA25"/>
  <c r="DB25"/>
  <c r="DC25"/>
  <c r="A26"/>
  <c r="CY26"/>
  <c r="CZ26"/>
  <c r="DA26"/>
  <c r="DB26"/>
  <c r="DC26"/>
  <c r="A27"/>
  <c r="CY27"/>
  <c r="CZ27"/>
  <c r="DB27" s="1"/>
  <c r="DA27"/>
  <c r="DC27"/>
  <c r="A28"/>
  <c r="CY28"/>
  <c r="CZ28"/>
  <c r="DB28" s="1"/>
  <c r="DA28"/>
  <c r="DC28"/>
  <c r="A29"/>
  <c r="CY29"/>
  <c r="CZ29"/>
  <c r="DA29"/>
  <c r="DB29"/>
  <c r="DC29"/>
  <c r="A30"/>
  <c r="CY30"/>
  <c r="CZ30"/>
  <c r="DA30"/>
  <c r="DB30"/>
  <c r="DC30"/>
  <c r="A31"/>
  <c r="CY31"/>
  <c r="CZ31"/>
  <c r="DB31" s="1"/>
  <c r="DA31"/>
  <c r="DC31"/>
  <c r="A32"/>
  <c r="CY32"/>
  <c r="CZ32"/>
  <c r="DB32" s="1"/>
  <c r="DA32"/>
  <c r="DC32"/>
  <c r="A33"/>
  <c r="CY33"/>
  <c r="CZ33"/>
  <c r="DA33"/>
  <c r="DB33"/>
  <c r="DC33"/>
  <c r="A34"/>
  <c r="CY34"/>
  <c r="CZ34"/>
  <c r="DA34"/>
  <c r="DB34"/>
  <c r="DC34"/>
  <c r="A35"/>
  <c r="CY35"/>
  <c r="CZ35"/>
  <c r="DB35" s="1"/>
  <c r="DA35"/>
  <c r="DC35"/>
  <c r="A36"/>
  <c r="CY36"/>
  <c r="CZ36"/>
  <c r="DB36" s="1"/>
  <c r="DA36"/>
  <c r="DC36"/>
  <c r="A37"/>
  <c r="CY37"/>
  <c r="CZ37"/>
  <c r="DA37"/>
  <c r="DB37"/>
  <c r="DC37"/>
  <c r="A38"/>
  <c r="CY38"/>
  <c r="CZ38"/>
  <c r="DA38"/>
  <c r="DB38"/>
  <c r="DC38"/>
  <c r="A39"/>
  <c r="CY39"/>
  <c r="CZ39"/>
  <c r="DB39" s="1"/>
  <c r="DA39"/>
  <c r="DC39"/>
  <c r="A40"/>
  <c r="CY40"/>
  <c r="CZ40"/>
  <c r="DB40" s="1"/>
  <c r="DA40"/>
  <c r="DC40"/>
  <c r="A41"/>
  <c r="CY41"/>
  <c r="CZ41"/>
  <c r="DA41"/>
  <c r="DB41"/>
  <c r="DC41"/>
  <c r="A42"/>
  <c r="CY42"/>
  <c r="CZ42"/>
  <c r="DA42"/>
  <c r="DB42"/>
  <c r="DC42"/>
  <c r="A43"/>
  <c r="CY43"/>
  <c r="CZ43"/>
  <c r="DB43" s="1"/>
  <c r="DA43"/>
  <c r="DC43"/>
  <c r="A44"/>
  <c r="CY44"/>
  <c r="CZ44"/>
  <c r="DB44" s="1"/>
  <c r="DA44"/>
  <c r="DC44"/>
  <c r="A45"/>
  <c r="CY45"/>
  <c r="CZ45"/>
  <c r="DA45"/>
  <c r="DB45"/>
  <c r="DC45"/>
  <c r="A46"/>
  <c r="CY46"/>
  <c r="CZ46"/>
  <c r="DA46"/>
  <c r="DB46"/>
  <c r="DC46"/>
  <c r="A47"/>
  <c r="CY47"/>
  <c r="CZ47"/>
  <c r="DB47" s="1"/>
  <c r="DA47"/>
  <c r="DC47"/>
  <c r="A48"/>
  <c r="CY48"/>
  <c r="CZ48"/>
  <c r="DB48" s="1"/>
  <c r="DA48"/>
  <c r="DC48"/>
  <c r="A49"/>
  <c r="CY49"/>
  <c r="CZ49"/>
  <c r="DA49"/>
  <c r="DB49"/>
  <c r="DC49"/>
  <c r="A50"/>
  <c r="CY50"/>
  <c r="CZ50"/>
  <c r="DA50"/>
  <c r="DB50"/>
  <c r="DC50"/>
  <c r="A51"/>
  <c r="CY51"/>
  <c r="CZ51"/>
  <c r="DB51" s="1"/>
  <c r="DA51"/>
  <c r="DC51"/>
  <c r="A52"/>
  <c r="CY52"/>
  <c r="CZ52"/>
  <c r="DB52" s="1"/>
  <c r="DA52"/>
  <c r="DC52"/>
  <c r="A53"/>
  <c r="CY53"/>
  <c r="CZ53"/>
  <c r="DA53"/>
  <c r="DB53"/>
  <c r="DC53"/>
  <c r="A54"/>
  <c r="CY54"/>
  <c r="CZ54"/>
  <c r="DA54"/>
  <c r="DB54"/>
  <c r="DC54"/>
  <c r="A55"/>
  <c r="CY55"/>
  <c r="CZ55"/>
  <c r="DB55" s="1"/>
  <c r="DA55"/>
  <c r="DC55"/>
  <c r="A56"/>
  <c r="CY56"/>
  <c r="CZ56"/>
  <c r="DB56" s="1"/>
  <c r="DA56"/>
  <c r="DC56"/>
  <c r="A57"/>
  <c r="CY57"/>
  <c r="CZ57"/>
  <c r="DA57"/>
  <c r="DB57"/>
  <c r="DC57"/>
  <c r="A58"/>
  <c r="CY58"/>
  <c r="CZ58"/>
  <c r="DA58"/>
  <c r="DB58"/>
  <c r="DC58"/>
  <c r="A59"/>
  <c r="CY59"/>
  <c r="CZ59"/>
  <c r="DB59" s="1"/>
  <c r="DA59"/>
  <c r="DC59"/>
  <c r="A60"/>
  <c r="CY60"/>
  <c r="CZ60"/>
  <c r="DB60" s="1"/>
  <c r="DA60"/>
  <c r="DC60"/>
  <c r="A61"/>
  <c r="CY61"/>
  <c r="CZ61"/>
  <c r="DA61"/>
  <c r="DB61"/>
  <c r="DC61"/>
  <c r="A62"/>
  <c r="CY62"/>
  <c r="CZ62"/>
  <c r="DA62"/>
  <c r="DB62"/>
  <c r="DC62"/>
  <c r="A63"/>
  <c r="CY63"/>
  <c r="CZ63"/>
  <c r="DB63" s="1"/>
  <c r="DA63"/>
  <c r="DC63"/>
  <c r="A64"/>
  <c r="CY64"/>
  <c r="CZ64"/>
  <c r="DB64" s="1"/>
  <c r="DA64"/>
  <c r="DC64"/>
  <c r="A65"/>
  <c r="CY65"/>
  <c r="CZ65"/>
  <c r="DA65"/>
  <c r="DB65"/>
  <c r="DC65"/>
  <c r="A66"/>
  <c r="CY66"/>
  <c r="CZ66"/>
  <c r="DA66"/>
  <c r="DB66"/>
  <c r="DC66"/>
  <c r="A67"/>
  <c r="CY67"/>
  <c r="CZ67"/>
  <c r="DB67" s="1"/>
  <c r="DA67"/>
  <c r="DC67"/>
  <c r="A68"/>
  <c r="CY68"/>
  <c r="CZ68"/>
  <c r="DB68" s="1"/>
  <c r="DA68"/>
  <c r="DC68"/>
  <c r="A69"/>
  <c r="CY69"/>
  <c r="CZ69"/>
  <c r="DA69"/>
  <c r="DB69"/>
  <c r="DC69"/>
  <c r="A70"/>
  <c r="CY70"/>
  <c r="CZ70"/>
  <c r="DA70"/>
  <c r="DB70"/>
  <c r="DC70"/>
  <c r="A71"/>
  <c r="CY71"/>
  <c r="CZ71"/>
  <c r="DB71" s="1"/>
  <c r="DA71"/>
  <c r="DC71"/>
  <c r="A72"/>
  <c r="CY72"/>
  <c r="CZ72"/>
  <c r="DB72" s="1"/>
  <c r="DA72"/>
  <c r="DC72"/>
  <c r="A73"/>
  <c r="CY73"/>
  <c r="CZ73"/>
  <c r="DA73"/>
  <c r="DB73"/>
  <c r="DC73"/>
  <c r="A74"/>
  <c r="CY74"/>
  <c r="CZ74"/>
  <c r="DA74"/>
  <c r="DB74"/>
  <c r="DC74"/>
  <c r="A75"/>
  <c r="CY75"/>
  <c r="CZ75"/>
  <c r="DB75" s="1"/>
  <c r="DA75"/>
  <c r="DC75"/>
  <c r="A76"/>
  <c r="CY76"/>
  <c r="CZ76"/>
  <c r="DB76" s="1"/>
  <c r="DA76"/>
  <c r="DC76"/>
  <c r="A77"/>
  <c r="CY77"/>
  <c r="CZ77"/>
  <c r="DA77"/>
  <c r="DB77"/>
  <c r="DC77"/>
  <c r="A78"/>
  <c r="CY78"/>
  <c r="CZ78"/>
  <c r="DA78"/>
  <c r="DB78"/>
  <c r="DC78"/>
  <c r="D12" i="1"/>
  <c r="E18"/>
  <c r="Z18"/>
  <c r="AA18"/>
  <c r="AB18"/>
  <c r="AC18"/>
  <c r="AD18"/>
  <c r="AE18"/>
  <c r="AF18"/>
  <c r="AG18"/>
  <c r="AH18"/>
  <c r="AI18"/>
  <c r="AJ18"/>
  <c r="AK18"/>
  <c r="AL18"/>
  <c r="AM18"/>
  <c r="AN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I18"/>
  <c r="CJ18"/>
  <c r="CK18"/>
  <c r="CL18"/>
  <c r="CM18"/>
  <c r="CN18"/>
  <c r="CO18"/>
  <c r="CP18"/>
  <c r="CQ18"/>
  <c r="CR18"/>
  <c r="CS18"/>
  <c r="CT18"/>
  <c r="CU18"/>
  <c r="CV18"/>
  <c r="CW18"/>
  <c r="CX18"/>
  <c r="CY18"/>
  <c r="CZ18"/>
  <c r="DA18"/>
  <c r="DB18"/>
  <c r="DC18"/>
  <c r="DD18"/>
  <c r="DE18"/>
  <c r="DF18"/>
  <c r="DG18"/>
  <c r="DH18"/>
  <c r="DI18"/>
  <c r="DJ18"/>
  <c r="DK18"/>
  <c r="DL18"/>
  <c r="DM18"/>
  <c r="DN18"/>
  <c r="DO18"/>
  <c r="DP18"/>
  <c r="DQ18"/>
  <c r="DR18"/>
  <c r="DS18"/>
  <c r="DT18"/>
  <c r="DU18"/>
  <c r="DV18"/>
  <c r="DW18"/>
  <c r="DX18"/>
  <c r="DY18"/>
  <c r="DZ18"/>
  <c r="EA18"/>
  <c r="EB18"/>
  <c r="EC18"/>
  <c r="ED18"/>
  <c r="EE18"/>
  <c r="EF18"/>
  <c r="EG18"/>
  <c r="EH18"/>
  <c r="EI18"/>
  <c r="EJ18"/>
  <c r="EK18"/>
  <c r="EL18"/>
  <c r="EM18"/>
  <c r="EN18"/>
  <c r="EO18"/>
  <c r="EP18"/>
  <c r="EQ18"/>
  <c r="ER18"/>
  <c r="ES18"/>
  <c r="ET18"/>
  <c r="EU18"/>
  <c r="EV18"/>
  <c r="EW18"/>
  <c r="EX18"/>
  <c r="EY18"/>
  <c r="EZ18"/>
  <c r="FA18"/>
  <c r="FB18"/>
  <c r="FC18"/>
  <c r="FD18"/>
  <c r="FE18"/>
  <c r="FF18"/>
  <c r="FG18"/>
  <c r="FH18"/>
  <c r="FI18"/>
  <c r="FJ18"/>
  <c r="FK18"/>
  <c r="FL18"/>
  <c r="FM18"/>
  <c r="FN18"/>
  <c r="FO18"/>
  <c r="FP18"/>
  <c r="FQ18"/>
  <c r="FR18"/>
  <c r="FS18"/>
  <c r="FT18"/>
  <c r="FU18"/>
  <c r="FV18"/>
  <c r="FW18"/>
  <c r="FX18"/>
  <c r="FY18"/>
  <c r="FZ18"/>
  <c r="GA18"/>
  <c r="GB18"/>
  <c r="GC18"/>
  <c r="GD18"/>
  <c r="GE18"/>
  <c r="GF18"/>
  <c r="GG18"/>
  <c r="GH18"/>
  <c r="GI18"/>
  <c r="GJ18"/>
  <c r="GK18"/>
  <c r="GL18"/>
  <c r="GM18"/>
  <c r="GN18"/>
  <c r="GO18"/>
  <c r="GP18"/>
  <c r="GQ18"/>
  <c r="GR18"/>
  <c r="GS18"/>
  <c r="GT18"/>
  <c r="GU18"/>
  <c r="GV18"/>
  <c r="GW18"/>
  <c r="GX18"/>
  <c r="D20"/>
  <c r="E22"/>
  <c r="Z22"/>
  <c r="AA22"/>
  <c r="AB22"/>
  <c r="AC22"/>
  <c r="AD22"/>
  <c r="AE22"/>
  <c r="AF22"/>
  <c r="AG22"/>
  <c r="AH22"/>
  <c r="AI22"/>
  <c r="AJ22"/>
  <c r="AK22"/>
  <c r="AL22"/>
  <c r="AM22"/>
  <c r="AN22"/>
  <c r="BE22"/>
  <c r="BF22"/>
  <c r="BG22"/>
  <c r="BH22"/>
  <c r="BI22"/>
  <c r="BJ22"/>
  <c r="BK22"/>
  <c r="BL22"/>
  <c r="BM22"/>
  <c r="BN22"/>
  <c r="BO22"/>
  <c r="BP22"/>
  <c r="BQ22"/>
  <c r="BR22"/>
  <c r="BS22"/>
  <c r="BT22"/>
  <c r="BU22"/>
  <c r="BV22"/>
  <c r="BW22"/>
  <c r="BX22"/>
  <c r="BY22"/>
  <c r="BZ22"/>
  <c r="CA22"/>
  <c r="CB22"/>
  <c r="CC22"/>
  <c r="CD22"/>
  <c r="CE22"/>
  <c r="CF22"/>
  <c r="CG22"/>
  <c r="CH22"/>
  <c r="CI22"/>
  <c r="CJ22"/>
  <c r="CK22"/>
  <c r="CL22"/>
  <c r="CM22"/>
  <c r="CN22"/>
  <c r="CO22"/>
  <c r="CP22"/>
  <c r="CQ22"/>
  <c r="CR22"/>
  <c r="CS22"/>
  <c r="CT22"/>
  <c r="CU22"/>
  <c r="CV22"/>
  <c r="CW22"/>
  <c r="CX22"/>
  <c r="CY22"/>
  <c r="CZ22"/>
  <c r="DA22"/>
  <c r="DB22"/>
  <c r="DC22"/>
  <c r="DD22"/>
  <c r="DE22"/>
  <c r="DF22"/>
  <c r="DG22"/>
  <c r="DH22"/>
  <c r="DI22"/>
  <c r="DJ22"/>
  <c r="DK22"/>
  <c r="DL22"/>
  <c r="DM22"/>
  <c r="DN22"/>
  <c r="DO22"/>
  <c r="DP22"/>
  <c r="DQ22"/>
  <c r="DR22"/>
  <c r="DS22"/>
  <c r="DT22"/>
  <c r="DU22"/>
  <c r="DV22"/>
  <c r="DW22"/>
  <c r="DX22"/>
  <c r="DY22"/>
  <c r="DZ22"/>
  <c r="EA22"/>
  <c r="EB22"/>
  <c r="EC22"/>
  <c r="ED22"/>
  <c r="EE22"/>
  <c r="EF22"/>
  <c r="EG22"/>
  <c r="EH22"/>
  <c r="EI22"/>
  <c r="EJ22"/>
  <c r="EK22"/>
  <c r="EL22"/>
  <c r="EM22"/>
  <c r="EN22"/>
  <c r="EO22"/>
  <c r="EP22"/>
  <c r="EQ22"/>
  <c r="ER22"/>
  <c r="ES22"/>
  <c r="ET22"/>
  <c r="EU22"/>
  <c r="EV22"/>
  <c r="EW22"/>
  <c r="EX22"/>
  <c r="EY22"/>
  <c r="EZ22"/>
  <c r="FA22"/>
  <c r="FB22"/>
  <c r="FC22"/>
  <c r="FD22"/>
  <c r="FE22"/>
  <c r="FF22"/>
  <c r="FG22"/>
  <c r="FH22"/>
  <c r="FI22"/>
  <c r="FJ22"/>
  <c r="FK22"/>
  <c r="FL22"/>
  <c r="FM22"/>
  <c r="FN22"/>
  <c r="FO22"/>
  <c r="FP22"/>
  <c r="FQ22"/>
  <c r="FR22"/>
  <c r="FS22"/>
  <c r="FT22"/>
  <c r="FU22"/>
  <c r="FV22"/>
  <c r="FW22"/>
  <c r="FX22"/>
  <c r="FY22"/>
  <c r="FZ22"/>
  <c r="GA22"/>
  <c r="GB22"/>
  <c r="GC22"/>
  <c r="GD22"/>
  <c r="GE22"/>
  <c r="GF22"/>
  <c r="GG22"/>
  <c r="GH22"/>
  <c r="GI22"/>
  <c r="GJ22"/>
  <c r="GK22"/>
  <c r="GL22"/>
  <c r="GM22"/>
  <c r="GN22"/>
  <c r="GO22"/>
  <c r="GP22"/>
  <c r="GQ22"/>
  <c r="GR22"/>
  <c r="GS22"/>
  <c r="GT22"/>
  <c r="GU22"/>
  <c r="GV22"/>
  <c r="GW22"/>
  <c r="GX22"/>
  <c r="D24"/>
  <c r="E26"/>
  <c r="Z26"/>
  <c r="AA26"/>
  <c r="AM26"/>
  <c r="AN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CN26"/>
  <c r="CO26"/>
  <c r="CP26"/>
  <c r="CQ26"/>
  <c r="CR26"/>
  <c r="CS26"/>
  <c r="CT26"/>
  <c r="CU26"/>
  <c r="CV26"/>
  <c r="CW26"/>
  <c r="CX26"/>
  <c r="CY26"/>
  <c r="CZ26"/>
  <c r="DA26"/>
  <c r="DB26"/>
  <c r="DC26"/>
  <c r="DD26"/>
  <c r="DE26"/>
  <c r="DF26"/>
  <c r="DG26"/>
  <c r="DH26"/>
  <c r="DI26"/>
  <c r="DJ26"/>
  <c r="DK26"/>
  <c r="DL26"/>
  <c r="DM26"/>
  <c r="DN26"/>
  <c r="DO26"/>
  <c r="DP26"/>
  <c r="DQ26"/>
  <c r="DR26"/>
  <c r="DS26"/>
  <c r="DT26"/>
  <c r="DU26"/>
  <c r="DV26"/>
  <c r="DW26"/>
  <c r="DX26"/>
  <c r="DY26"/>
  <c r="DZ26"/>
  <c r="EA26"/>
  <c r="EB26"/>
  <c r="EC26"/>
  <c r="ED26"/>
  <c r="EE26"/>
  <c r="EF26"/>
  <c r="EG26"/>
  <c r="EH26"/>
  <c r="EI26"/>
  <c r="EJ26"/>
  <c r="EK26"/>
  <c r="EL26"/>
  <c r="EM26"/>
  <c r="EN26"/>
  <c r="EO26"/>
  <c r="EP26"/>
  <c r="EQ26"/>
  <c r="ER26"/>
  <c r="ES26"/>
  <c r="ET26"/>
  <c r="EU26"/>
  <c r="EV26"/>
  <c r="EW26"/>
  <c r="EX26"/>
  <c r="EY26"/>
  <c r="EZ26"/>
  <c r="FA26"/>
  <c r="FB26"/>
  <c r="FC26"/>
  <c r="FD26"/>
  <c r="FE26"/>
  <c r="FF26"/>
  <c r="FG26"/>
  <c r="FH26"/>
  <c r="FI26"/>
  <c r="FJ26"/>
  <c r="FK26"/>
  <c r="FL26"/>
  <c r="FM26"/>
  <c r="FN26"/>
  <c r="FO26"/>
  <c r="FP26"/>
  <c r="FQ26"/>
  <c r="FR26"/>
  <c r="FS26"/>
  <c r="FT26"/>
  <c r="FU26"/>
  <c r="FV26"/>
  <c r="FW26"/>
  <c r="FX26"/>
  <c r="FY26"/>
  <c r="FZ26"/>
  <c r="GA26"/>
  <c r="GB26"/>
  <c r="GC26"/>
  <c r="GD26"/>
  <c r="GE26"/>
  <c r="GF26"/>
  <c r="GG26"/>
  <c r="GH26"/>
  <c r="GI26"/>
  <c r="GJ26"/>
  <c r="GK26"/>
  <c r="GL26"/>
  <c r="GM26"/>
  <c r="GN26"/>
  <c r="GO26"/>
  <c r="GP26"/>
  <c r="GQ26"/>
  <c r="GR26"/>
  <c r="GS26"/>
  <c r="GT26"/>
  <c r="GU26"/>
  <c r="GV26"/>
  <c r="GW26"/>
  <c r="GX26"/>
  <c r="C28"/>
  <c r="D28"/>
  <c r="I28"/>
  <c r="CX1" i="3" s="1"/>
  <c r="AC28" i="1"/>
  <c r="P28" s="1"/>
  <c r="AE28"/>
  <c r="R28" s="1"/>
  <c r="AF28"/>
  <c r="S28" s="1"/>
  <c r="AG28"/>
  <c r="AH28"/>
  <c r="AI28"/>
  <c r="AJ28"/>
  <c r="CX28" s="1"/>
  <c r="W28" s="1"/>
  <c r="CQ28"/>
  <c r="CR28"/>
  <c r="CS28"/>
  <c r="CU28"/>
  <c r="T28" s="1"/>
  <c r="CV28"/>
  <c r="U28" s="1"/>
  <c r="CW28"/>
  <c r="V28" s="1"/>
  <c r="FR28"/>
  <c r="GL28"/>
  <c r="GO28"/>
  <c r="GP28"/>
  <c r="GV28"/>
  <c r="HC28" s="1"/>
  <c r="GX28" s="1"/>
  <c r="C29"/>
  <c r="D29"/>
  <c r="I29"/>
  <c r="Q29" s="1"/>
  <c r="R29"/>
  <c r="GK29" s="1"/>
  <c r="AC29"/>
  <c r="P29" s="1"/>
  <c r="CP29" s="1"/>
  <c r="O29" s="1"/>
  <c r="AE29"/>
  <c r="AD29" s="1"/>
  <c r="AB29" s="1"/>
  <c r="AF29"/>
  <c r="S29" s="1"/>
  <c r="AG29"/>
  <c r="AH29"/>
  <c r="AI29"/>
  <c r="AJ29"/>
  <c r="CX29" s="1"/>
  <c r="W29" s="1"/>
  <c r="CQ29"/>
  <c r="CR29"/>
  <c r="CS29"/>
  <c r="CU29"/>
  <c r="T29" s="1"/>
  <c r="CV29"/>
  <c r="U29" s="1"/>
  <c r="CW29"/>
  <c r="V29" s="1"/>
  <c r="FR29"/>
  <c r="GL29"/>
  <c r="GO29"/>
  <c r="GP29"/>
  <c r="GV29"/>
  <c r="HC29" s="1"/>
  <c r="GX29" s="1"/>
  <c r="C30"/>
  <c r="D30"/>
  <c r="I30"/>
  <c r="CX5" i="3" s="1"/>
  <c r="R30" i="1"/>
  <c r="GK30" s="1"/>
  <c r="AC30"/>
  <c r="AE30"/>
  <c r="AD30" s="1"/>
  <c r="AB30" s="1"/>
  <c r="AF30"/>
  <c r="S30" s="1"/>
  <c r="AG30"/>
  <c r="AH30"/>
  <c r="AI30"/>
  <c r="AJ30"/>
  <c r="CX30" s="1"/>
  <c r="W30" s="1"/>
  <c r="CQ30"/>
  <c r="CR30"/>
  <c r="CS30"/>
  <c r="CU30"/>
  <c r="T30" s="1"/>
  <c r="CV30"/>
  <c r="U30" s="1"/>
  <c r="CW30"/>
  <c r="V30" s="1"/>
  <c r="FR30"/>
  <c r="GL30"/>
  <c r="GO30"/>
  <c r="GP30"/>
  <c r="GV30"/>
  <c r="HC30" s="1"/>
  <c r="GX30" s="1"/>
  <c r="C31"/>
  <c r="D31"/>
  <c r="I31"/>
  <c r="Q31" s="1"/>
  <c r="R31"/>
  <c r="GK31" s="1"/>
  <c r="AC31"/>
  <c r="AE31"/>
  <c r="AD31" s="1"/>
  <c r="AB31" s="1"/>
  <c r="AF31"/>
  <c r="S31" s="1"/>
  <c r="AG31"/>
  <c r="AH31"/>
  <c r="AI31"/>
  <c r="AJ31"/>
  <c r="CX31" s="1"/>
  <c r="W31" s="1"/>
  <c r="CQ31"/>
  <c r="CR31"/>
  <c r="CS31"/>
  <c r="CU31"/>
  <c r="T31" s="1"/>
  <c r="CV31"/>
  <c r="U31" s="1"/>
  <c r="CW31"/>
  <c r="V31" s="1"/>
  <c r="FR31"/>
  <c r="GL31"/>
  <c r="GO31"/>
  <c r="GP31"/>
  <c r="GV31"/>
  <c r="HC31" s="1"/>
  <c r="GX31" s="1"/>
  <c r="C32"/>
  <c r="D32"/>
  <c r="I32"/>
  <c r="CX9" i="3" s="1"/>
  <c r="R32" i="1"/>
  <c r="GK32" s="1"/>
  <c r="AC32"/>
  <c r="AE32"/>
  <c r="AD32" s="1"/>
  <c r="AB32" s="1"/>
  <c r="AF32"/>
  <c r="S32" s="1"/>
  <c r="AG32"/>
  <c r="AH32"/>
  <c r="AI32"/>
  <c r="AJ32"/>
  <c r="CX32" s="1"/>
  <c r="W32" s="1"/>
  <c r="CQ32"/>
  <c r="CR32"/>
  <c r="CS32"/>
  <c r="CU32"/>
  <c r="T32" s="1"/>
  <c r="CV32"/>
  <c r="U32" s="1"/>
  <c r="CW32"/>
  <c r="V32" s="1"/>
  <c r="FR32"/>
  <c r="GL32"/>
  <c r="GO32"/>
  <c r="GP32"/>
  <c r="GV32"/>
  <c r="HC32" s="1"/>
  <c r="GX32" s="1"/>
  <c r="AC33"/>
  <c r="AB33" s="1"/>
  <c r="AD33"/>
  <c r="AE33"/>
  <c r="AF33"/>
  <c r="AG33"/>
  <c r="AH33"/>
  <c r="CV33" s="1"/>
  <c r="AI33"/>
  <c r="AJ33"/>
  <c r="CQ33"/>
  <c r="CR33"/>
  <c r="CS33"/>
  <c r="CT33"/>
  <c r="CU33"/>
  <c r="CW33"/>
  <c r="CX33"/>
  <c r="FR33"/>
  <c r="GL33"/>
  <c r="GO33"/>
  <c r="GP33"/>
  <c r="GV33"/>
  <c r="HC33"/>
  <c r="C34"/>
  <c r="D34"/>
  <c r="I34"/>
  <c r="CX17" i="3" s="1"/>
  <c r="P34" i="1"/>
  <c r="R34"/>
  <c r="S34"/>
  <c r="CZ34" s="1"/>
  <c r="Y34" s="1"/>
  <c r="AC34"/>
  <c r="AB34" s="1"/>
  <c r="AD34"/>
  <c r="AE34"/>
  <c r="AF34"/>
  <c r="AG34"/>
  <c r="AH34"/>
  <c r="CV34" s="1"/>
  <c r="U34" s="1"/>
  <c r="AI34"/>
  <c r="AJ34"/>
  <c r="CQ34"/>
  <c r="CR34"/>
  <c r="CS34"/>
  <c r="CT34"/>
  <c r="CU34"/>
  <c r="T34" s="1"/>
  <c r="CW34"/>
  <c r="V34" s="1"/>
  <c r="CX34"/>
  <c r="W34" s="1"/>
  <c r="CY34"/>
  <c r="X34" s="1"/>
  <c r="FR34"/>
  <c r="GK34"/>
  <c r="GL34"/>
  <c r="GO34"/>
  <c r="GP34"/>
  <c r="GV34"/>
  <c r="HC34"/>
  <c r="GX34" s="1"/>
  <c r="I35"/>
  <c r="Q35" s="1"/>
  <c r="R35"/>
  <c r="GK35" s="1"/>
  <c r="AC35"/>
  <c r="AE35"/>
  <c r="AD35" s="1"/>
  <c r="AB35" s="1"/>
  <c r="AF35"/>
  <c r="S35" s="1"/>
  <c r="AG35"/>
  <c r="AH35"/>
  <c r="AI35"/>
  <c r="AJ35"/>
  <c r="CX35" s="1"/>
  <c r="W35" s="1"/>
  <c r="CQ35"/>
  <c r="CR35"/>
  <c r="CS35"/>
  <c r="CU35"/>
  <c r="T35" s="1"/>
  <c r="CV35"/>
  <c r="U35" s="1"/>
  <c r="CW35"/>
  <c r="V35" s="1"/>
  <c r="FR35"/>
  <c r="GL35"/>
  <c r="GO35"/>
  <c r="GP35"/>
  <c r="GV35"/>
  <c r="HC35" s="1"/>
  <c r="GX35" s="1"/>
  <c r="C36"/>
  <c r="D36"/>
  <c r="I36"/>
  <c r="CX29" i="3" s="1"/>
  <c r="R36" i="1"/>
  <c r="GK36" s="1"/>
  <c r="AC36"/>
  <c r="AE36"/>
  <c r="AD36" s="1"/>
  <c r="AB36" s="1"/>
  <c r="AF36"/>
  <c r="S36" s="1"/>
  <c r="AG36"/>
  <c r="AH36"/>
  <c r="AI36"/>
  <c r="AJ36"/>
  <c r="CX36" s="1"/>
  <c r="W36" s="1"/>
  <c r="CQ36"/>
  <c r="CR36"/>
  <c r="CS36"/>
  <c r="CU36"/>
  <c r="T36" s="1"/>
  <c r="CV36"/>
  <c r="U36" s="1"/>
  <c r="CW36"/>
  <c r="V36" s="1"/>
  <c r="FR36"/>
  <c r="GL36"/>
  <c r="GO36"/>
  <c r="GP36"/>
  <c r="GV36"/>
  <c r="HC36" s="1"/>
  <c r="GX36" s="1"/>
  <c r="AC37"/>
  <c r="AB37" s="1"/>
  <c r="AD37"/>
  <c r="AE37"/>
  <c r="AF37"/>
  <c r="AG37"/>
  <c r="AH37"/>
  <c r="CV37" s="1"/>
  <c r="AI37"/>
  <c r="AJ37"/>
  <c r="CQ37"/>
  <c r="CR37"/>
  <c r="CS37"/>
  <c r="CT37"/>
  <c r="CU37"/>
  <c r="CW37"/>
  <c r="CX37"/>
  <c r="FR37"/>
  <c r="GL37"/>
  <c r="GO37"/>
  <c r="GP37"/>
  <c r="GV37"/>
  <c r="HC37"/>
  <c r="B39"/>
  <c r="B26" s="1"/>
  <c r="C39"/>
  <c r="C26" s="1"/>
  <c r="D39"/>
  <c r="D26" s="1"/>
  <c r="F39"/>
  <c r="F26" s="1"/>
  <c r="G39"/>
  <c r="G26" s="1"/>
  <c r="BX39"/>
  <c r="BX26" s="1"/>
  <c r="BY39"/>
  <c r="BY26" s="1"/>
  <c r="BZ39"/>
  <c r="BZ26" s="1"/>
  <c r="CC39"/>
  <c r="CC26" s="1"/>
  <c r="CD39"/>
  <c r="CD26" s="1"/>
  <c r="CG39"/>
  <c r="CG26" s="1"/>
  <c r="CK39"/>
  <c r="CK26" s="1"/>
  <c r="CL39"/>
  <c r="CL26" s="1"/>
  <c r="CM39"/>
  <c r="CM26" s="1"/>
  <c r="D69"/>
  <c r="E71"/>
  <c r="Z71"/>
  <c r="AA71"/>
  <c r="AM71"/>
  <c r="AN71"/>
  <c r="BE71"/>
  <c r="BF71"/>
  <c r="BG71"/>
  <c r="BH71"/>
  <c r="BI71"/>
  <c r="BJ71"/>
  <c r="BK71"/>
  <c r="BL71"/>
  <c r="BM71"/>
  <c r="BN71"/>
  <c r="BO71"/>
  <c r="BP71"/>
  <c r="BQ71"/>
  <c r="BR71"/>
  <c r="BS71"/>
  <c r="BT71"/>
  <c r="BU71"/>
  <c r="BV71"/>
  <c r="BW71"/>
  <c r="CN71"/>
  <c r="CO71"/>
  <c r="CP71"/>
  <c r="CQ71"/>
  <c r="CR71"/>
  <c r="CS71"/>
  <c r="CT71"/>
  <c r="CU71"/>
  <c r="CV71"/>
  <c r="CW71"/>
  <c r="CX71"/>
  <c r="CY71"/>
  <c r="CZ71"/>
  <c r="DA71"/>
  <c r="DB71"/>
  <c r="DC71"/>
  <c r="DD71"/>
  <c r="DE71"/>
  <c r="DF71"/>
  <c r="DG71"/>
  <c r="DH71"/>
  <c r="DI71"/>
  <c r="DJ71"/>
  <c r="DK71"/>
  <c r="DL71"/>
  <c r="DM71"/>
  <c r="DN71"/>
  <c r="DO71"/>
  <c r="DP71"/>
  <c r="DQ71"/>
  <c r="DR71"/>
  <c r="DS71"/>
  <c r="DT71"/>
  <c r="DU71"/>
  <c r="DV71"/>
  <c r="DW71"/>
  <c r="DX71"/>
  <c r="DY71"/>
  <c r="DZ71"/>
  <c r="EA71"/>
  <c r="EB71"/>
  <c r="EC71"/>
  <c r="ED71"/>
  <c r="EE71"/>
  <c r="EF71"/>
  <c r="EG71"/>
  <c r="EH71"/>
  <c r="EI71"/>
  <c r="EJ71"/>
  <c r="EK71"/>
  <c r="EL71"/>
  <c r="EM71"/>
  <c r="EN71"/>
  <c r="EO71"/>
  <c r="EP71"/>
  <c r="EQ71"/>
  <c r="ER71"/>
  <c r="ES71"/>
  <c r="ET71"/>
  <c r="EU71"/>
  <c r="EV71"/>
  <c r="EW71"/>
  <c r="EX71"/>
  <c r="EY71"/>
  <c r="EZ71"/>
  <c r="FA71"/>
  <c r="FB71"/>
  <c r="FC71"/>
  <c r="FD71"/>
  <c r="FE71"/>
  <c r="FF71"/>
  <c r="FG71"/>
  <c r="FH71"/>
  <c r="FI71"/>
  <c r="FJ71"/>
  <c r="FK71"/>
  <c r="FL71"/>
  <c r="FM71"/>
  <c r="FN71"/>
  <c r="FO71"/>
  <c r="FP71"/>
  <c r="FQ71"/>
  <c r="FR71"/>
  <c r="FS71"/>
  <c r="FT71"/>
  <c r="FU71"/>
  <c r="FV71"/>
  <c r="FW71"/>
  <c r="FX71"/>
  <c r="FY71"/>
  <c r="FZ71"/>
  <c r="GA71"/>
  <c r="GB71"/>
  <c r="GC71"/>
  <c r="GD71"/>
  <c r="GE71"/>
  <c r="GF71"/>
  <c r="GG71"/>
  <c r="GH71"/>
  <c r="GI71"/>
  <c r="GJ71"/>
  <c r="GK71"/>
  <c r="GL71"/>
  <c r="GM71"/>
  <c r="GN71"/>
  <c r="GO71"/>
  <c r="GP71"/>
  <c r="GQ71"/>
  <c r="GR71"/>
  <c r="GS71"/>
  <c r="GT71"/>
  <c r="GU71"/>
  <c r="GV71"/>
  <c r="GW71"/>
  <c r="GX71"/>
  <c r="C73"/>
  <c r="D73"/>
  <c r="I73"/>
  <c r="CX30" i="3" s="1"/>
  <c r="R73" i="1"/>
  <c r="AC73"/>
  <c r="P73" s="1"/>
  <c r="AD73"/>
  <c r="AE73"/>
  <c r="AF73"/>
  <c r="S73" s="1"/>
  <c r="AG73"/>
  <c r="CU73" s="1"/>
  <c r="T73" s="1"/>
  <c r="AH73"/>
  <c r="AI73"/>
  <c r="AJ73"/>
  <c r="CX73" s="1"/>
  <c r="W73" s="1"/>
  <c r="CR73"/>
  <c r="CS73"/>
  <c r="CV73"/>
  <c r="U73" s="1"/>
  <c r="CW73"/>
  <c r="V73" s="1"/>
  <c r="FR73"/>
  <c r="GK73"/>
  <c r="GL73"/>
  <c r="GO73"/>
  <c r="GP73"/>
  <c r="GV73"/>
  <c r="GX73"/>
  <c r="HC73"/>
  <c r="C74"/>
  <c r="D74"/>
  <c r="I74"/>
  <c r="CX33" i="3" s="1"/>
  <c r="R74" i="1"/>
  <c r="GK74" s="1"/>
  <c r="AC74"/>
  <c r="P74" s="1"/>
  <c r="AE74"/>
  <c r="AD74" s="1"/>
  <c r="AB74" s="1"/>
  <c r="AF74"/>
  <c r="S74" s="1"/>
  <c r="AG74"/>
  <c r="CU74" s="1"/>
  <c r="T74" s="1"/>
  <c r="AH74"/>
  <c r="AI74"/>
  <c r="AJ74"/>
  <c r="CX74" s="1"/>
  <c r="W74" s="1"/>
  <c r="CR74"/>
  <c r="CS74"/>
  <c r="CV74"/>
  <c r="U74" s="1"/>
  <c r="CW74"/>
  <c r="V74" s="1"/>
  <c r="FR74"/>
  <c r="GL74"/>
  <c r="GO74"/>
  <c r="GP74"/>
  <c r="GV74"/>
  <c r="GX74"/>
  <c r="HC74"/>
  <c r="C75"/>
  <c r="D75"/>
  <c r="I75"/>
  <c r="CX34" i="3" s="1"/>
  <c r="R75" i="1"/>
  <c r="GK75" s="1"/>
  <c r="AC75"/>
  <c r="P75" s="1"/>
  <c r="AE75"/>
  <c r="AD75" s="1"/>
  <c r="AB75" s="1"/>
  <c r="AF75"/>
  <c r="S75" s="1"/>
  <c r="AG75"/>
  <c r="CU75" s="1"/>
  <c r="T75" s="1"/>
  <c r="AH75"/>
  <c r="AI75"/>
  <c r="AJ75"/>
  <c r="CX75" s="1"/>
  <c r="W75" s="1"/>
  <c r="CR75"/>
  <c r="CS75"/>
  <c r="CV75"/>
  <c r="U75" s="1"/>
  <c r="CW75"/>
  <c r="V75" s="1"/>
  <c r="FR75"/>
  <c r="GL75"/>
  <c r="GO75"/>
  <c r="GP75"/>
  <c r="GV75"/>
  <c r="GX75"/>
  <c r="HC75"/>
  <c r="C76"/>
  <c r="D76"/>
  <c r="I76"/>
  <c r="CX37" i="3" s="1"/>
  <c r="R76" i="1"/>
  <c r="GK76" s="1"/>
  <c r="AC76"/>
  <c r="P76" s="1"/>
  <c r="AE76"/>
  <c r="AD76" s="1"/>
  <c r="AB76" s="1"/>
  <c r="AF76"/>
  <c r="S76" s="1"/>
  <c r="AG76"/>
  <c r="CU76" s="1"/>
  <c r="T76" s="1"/>
  <c r="AH76"/>
  <c r="AI76"/>
  <c r="AJ76"/>
  <c r="CX76" s="1"/>
  <c r="W76" s="1"/>
  <c r="CR76"/>
  <c r="CS76"/>
  <c r="CV76"/>
  <c r="U76" s="1"/>
  <c r="CW76"/>
  <c r="V76" s="1"/>
  <c r="FR76"/>
  <c r="GL76"/>
  <c r="GO76"/>
  <c r="GP76"/>
  <c r="GV76"/>
  <c r="GX76"/>
  <c r="HC76"/>
  <c r="AC77"/>
  <c r="AB77" s="1"/>
  <c r="AD77"/>
  <c r="AE77"/>
  <c r="AF77"/>
  <c r="AG77"/>
  <c r="AH77"/>
  <c r="CV77" s="1"/>
  <c r="AI77"/>
  <c r="CW77" s="1"/>
  <c r="AJ77"/>
  <c r="CQ77"/>
  <c r="CR77"/>
  <c r="CT77"/>
  <c r="CU77"/>
  <c r="CX77"/>
  <c r="FR77"/>
  <c r="GL77"/>
  <c r="GO77"/>
  <c r="GP77"/>
  <c r="GV77"/>
  <c r="HC77" s="1"/>
  <c r="C78"/>
  <c r="D78"/>
  <c r="I78"/>
  <c r="CX45" i="3" s="1"/>
  <c r="P78" i="1"/>
  <c r="S78"/>
  <c r="T78"/>
  <c r="AC78"/>
  <c r="AD78"/>
  <c r="AE78"/>
  <c r="Q78" s="1"/>
  <c r="AF78"/>
  <c r="AG78"/>
  <c r="AH78"/>
  <c r="CV78" s="1"/>
  <c r="U78" s="1"/>
  <c r="AI78"/>
  <c r="CW78" s="1"/>
  <c r="V78" s="1"/>
  <c r="AJ78"/>
  <c r="CQ78"/>
  <c r="CR78"/>
  <c r="CT78"/>
  <c r="CU78"/>
  <c r="CX78"/>
  <c r="W78" s="1"/>
  <c r="CY78"/>
  <c r="X78" s="1"/>
  <c r="CZ78"/>
  <c r="Y78" s="1"/>
  <c r="FR78"/>
  <c r="GL78"/>
  <c r="GO78"/>
  <c r="GP78"/>
  <c r="GV78"/>
  <c r="HC78" s="1"/>
  <c r="GX78" s="1"/>
  <c r="I79"/>
  <c r="Q79" s="1"/>
  <c r="R79"/>
  <c r="GK79" s="1"/>
  <c r="AC79"/>
  <c r="P79" s="1"/>
  <c r="AE79"/>
  <c r="AD79" s="1"/>
  <c r="AB79" s="1"/>
  <c r="AF79"/>
  <c r="AG79"/>
  <c r="CU79" s="1"/>
  <c r="AH79"/>
  <c r="AI79"/>
  <c r="AJ79"/>
  <c r="CX79" s="1"/>
  <c r="W79" s="1"/>
  <c r="CR79"/>
  <c r="CS79"/>
  <c r="CV79"/>
  <c r="U79" s="1"/>
  <c r="CW79"/>
  <c r="V79" s="1"/>
  <c r="FR79"/>
  <c r="GL79"/>
  <c r="GO79"/>
  <c r="GP79"/>
  <c r="GV79"/>
  <c r="GX79"/>
  <c r="HC79"/>
  <c r="C80"/>
  <c r="D80"/>
  <c r="I80"/>
  <c r="I82" s="1"/>
  <c r="AC80"/>
  <c r="P80" s="1"/>
  <c r="AE80"/>
  <c r="AD80" s="1"/>
  <c r="AB80" s="1"/>
  <c r="AF80"/>
  <c r="AG80"/>
  <c r="CU80" s="1"/>
  <c r="AH80"/>
  <c r="AI80"/>
  <c r="AJ80"/>
  <c r="CX80" s="1"/>
  <c r="CR80"/>
  <c r="CS80"/>
  <c r="CV80"/>
  <c r="CW80"/>
  <c r="V80" s="1"/>
  <c r="FR80"/>
  <c r="GL80"/>
  <c r="GO80"/>
  <c r="GP80"/>
  <c r="GV80"/>
  <c r="HC80"/>
  <c r="AC81"/>
  <c r="AD81"/>
  <c r="AE81"/>
  <c r="AF81"/>
  <c r="AG81"/>
  <c r="AH81"/>
  <c r="CV81" s="1"/>
  <c r="AI81"/>
  <c r="CW81" s="1"/>
  <c r="AJ81"/>
  <c r="CQ81"/>
  <c r="CR81"/>
  <c r="CT81"/>
  <c r="CU81"/>
  <c r="CX81"/>
  <c r="FR81"/>
  <c r="GL81"/>
  <c r="GO81"/>
  <c r="GP81"/>
  <c r="GV81"/>
  <c r="HC81" s="1"/>
  <c r="AB82"/>
  <c r="AC82"/>
  <c r="AE82"/>
  <c r="AD82" s="1"/>
  <c r="AF82"/>
  <c r="AG82"/>
  <c r="CU82" s="1"/>
  <c r="AH82"/>
  <c r="AI82"/>
  <c r="AJ82"/>
  <c r="CX82" s="1"/>
  <c r="CR82"/>
  <c r="CS82"/>
  <c r="CT82"/>
  <c r="CV82"/>
  <c r="CW82"/>
  <c r="V82" s="1"/>
  <c r="FR82"/>
  <c r="BY85" s="1"/>
  <c r="GL82"/>
  <c r="GO82"/>
  <c r="GP82"/>
  <c r="GV82"/>
  <c r="HC82"/>
  <c r="AC83"/>
  <c r="AD83"/>
  <c r="AE83"/>
  <c r="AF83"/>
  <c r="AG83"/>
  <c r="AH83"/>
  <c r="AI83"/>
  <c r="CW83" s="1"/>
  <c r="AJ83"/>
  <c r="CQ83"/>
  <c r="CR83"/>
  <c r="CT83"/>
  <c r="CU83"/>
  <c r="CV83"/>
  <c r="CX83"/>
  <c r="FR83"/>
  <c r="GL83"/>
  <c r="GO83"/>
  <c r="CC85" s="1"/>
  <c r="GP83"/>
  <c r="GV83"/>
  <c r="HC83"/>
  <c r="B85"/>
  <c r="B71" s="1"/>
  <c r="C85"/>
  <c r="C71" s="1"/>
  <c r="D85"/>
  <c r="D71" s="1"/>
  <c r="F85"/>
  <c r="F71" s="1"/>
  <c r="G85"/>
  <c r="G71" s="1"/>
  <c r="BX85"/>
  <c r="BX71" s="1"/>
  <c r="BZ85"/>
  <c r="BZ71" s="1"/>
  <c r="CD85"/>
  <c r="CD71" s="1"/>
  <c r="CK85"/>
  <c r="CK71" s="1"/>
  <c r="CL85"/>
  <c r="CL71" s="1"/>
  <c r="CM85"/>
  <c r="CM71" s="1"/>
  <c r="D115"/>
  <c r="E117"/>
  <c r="Z117"/>
  <c r="AA117"/>
  <c r="AM117"/>
  <c r="AN117"/>
  <c r="BE117"/>
  <c r="BF117"/>
  <c r="BG117"/>
  <c r="BH117"/>
  <c r="BI117"/>
  <c r="BJ117"/>
  <c r="BK117"/>
  <c r="BL117"/>
  <c r="BM117"/>
  <c r="BN117"/>
  <c r="BO117"/>
  <c r="BP117"/>
  <c r="BQ117"/>
  <c r="BR117"/>
  <c r="BS117"/>
  <c r="BT117"/>
  <c r="BU117"/>
  <c r="BV117"/>
  <c r="BW117"/>
  <c r="CN117"/>
  <c r="CO117"/>
  <c r="CP117"/>
  <c r="CQ117"/>
  <c r="CR117"/>
  <c r="CS117"/>
  <c r="CT117"/>
  <c r="CU117"/>
  <c r="CV117"/>
  <c r="CW117"/>
  <c r="CX117"/>
  <c r="CY117"/>
  <c r="CZ117"/>
  <c r="DA117"/>
  <c r="DB117"/>
  <c r="DC117"/>
  <c r="DD117"/>
  <c r="DE117"/>
  <c r="DF117"/>
  <c r="DG117"/>
  <c r="DH117"/>
  <c r="DI117"/>
  <c r="DJ117"/>
  <c r="DK117"/>
  <c r="DL117"/>
  <c r="DM117"/>
  <c r="DN117"/>
  <c r="DO117"/>
  <c r="DP117"/>
  <c r="DQ117"/>
  <c r="DR117"/>
  <c r="DS117"/>
  <c r="DT117"/>
  <c r="DU117"/>
  <c r="DV117"/>
  <c r="DW117"/>
  <c r="DX117"/>
  <c r="DY117"/>
  <c r="DZ117"/>
  <c r="EA117"/>
  <c r="EB117"/>
  <c r="EC117"/>
  <c r="ED117"/>
  <c r="EE117"/>
  <c r="EF117"/>
  <c r="EG117"/>
  <c r="EH117"/>
  <c r="EI117"/>
  <c r="EJ117"/>
  <c r="EK117"/>
  <c r="EL117"/>
  <c r="EM117"/>
  <c r="EN117"/>
  <c r="EO117"/>
  <c r="EP117"/>
  <c r="EQ117"/>
  <c r="ER117"/>
  <c r="ES117"/>
  <c r="ET117"/>
  <c r="EU117"/>
  <c r="EV117"/>
  <c r="EW117"/>
  <c r="EX117"/>
  <c r="EY117"/>
  <c r="EZ117"/>
  <c r="FA117"/>
  <c r="FB117"/>
  <c r="FC117"/>
  <c r="FD117"/>
  <c r="FE117"/>
  <c r="FF117"/>
  <c r="FG117"/>
  <c r="FH117"/>
  <c r="FI117"/>
  <c r="FJ117"/>
  <c r="FK117"/>
  <c r="FL117"/>
  <c r="FM117"/>
  <c r="FN117"/>
  <c r="FO117"/>
  <c r="FP117"/>
  <c r="FQ117"/>
  <c r="FR117"/>
  <c r="FS117"/>
  <c r="FT117"/>
  <c r="FU117"/>
  <c r="FV117"/>
  <c r="FW117"/>
  <c r="FX117"/>
  <c r="FY117"/>
  <c r="FZ117"/>
  <c r="GA117"/>
  <c r="GB117"/>
  <c r="GC117"/>
  <c r="GD117"/>
  <c r="GE117"/>
  <c r="GF117"/>
  <c r="GG117"/>
  <c r="GH117"/>
  <c r="GI117"/>
  <c r="GJ117"/>
  <c r="GK117"/>
  <c r="GL117"/>
  <c r="GM117"/>
  <c r="GN117"/>
  <c r="GO117"/>
  <c r="GP117"/>
  <c r="GQ117"/>
  <c r="GR117"/>
  <c r="GS117"/>
  <c r="GT117"/>
  <c r="GU117"/>
  <c r="GV117"/>
  <c r="GW117"/>
  <c r="GX117"/>
  <c r="C119"/>
  <c r="D119"/>
  <c r="I119"/>
  <c r="P119"/>
  <c r="AC119"/>
  <c r="AE119"/>
  <c r="R119" s="1"/>
  <c r="AF119"/>
  <c r="S119" s="1"/>
  <c r="AG119"/>
  <c r="AH119"/>
  <c r="AI119"/>
  <c r="CW119" s="1"/>
  <c r="V119" s="1"/>
  <c r="AJ119"/>
  <c r="CX119" s="1"/>
  <c r="W119" s="1"/>
  <c r="CQ119"/>
  <c r="CR119"/>
  <c r="CU119"/>
  <c r="T119" s="1"/>
  <c r="CV119"/>
  <c r="U119" s="1"/>
  <c r="FR119"/>
  <c r="GL119"/>
  <c r="GO119"/>
  <c r="GP119"/>
  <c r="GV119"/>
  <c r="HC119" s="1"/>
  <c r="GX119" s="1"/>
  <c r="I120"/>
  <c r="Q120" s="1"/>
  <c r="R120"/>
  <c r="S120"/>
  <c r="CY120" s="1"/>
  <c r="X120" s="1"/>
  <c r="AC120"/>
  <c r="P120" s="1"/>
  <c r="AD120"/>
  <c r="AE120"/>
  <c r="AF120"/>
  <c r="AG120"/>
  <c r="CU120" s="1"/>
  <c r="T120" s="1"/>
  <c r="AH120"/>
  <c r="CV120" s="1"/>
  <c r="U120" s="1"/>
  <c r="AI120"/>
  <c r="AJ120"/>
  <c r="CR120"/>
  <c r="CS120"/>
  <c r="CT120"/>
  <c r="CW120"/>
  <c r="V120" s="1"/>
  <c r="CX120"/>
  <c r="W120" s="1"/>
  <c r="FR120"/>
  <c r="GK120"/>
  <c r="GL120"/>
  <c r="GO120"/>
  <c r="GP120"/>
  <c r="GV120"/>
  <c r="HC120"/>
  <c r="GX120" s="1"/>
  <c r="C121"/>
  <c r="D121"/>
  <c r="I121"/>
  <c r="Q121" s="1"/>
  <c r="R121"/>
  <c r="S121"/>
  <c r="CY121" s="1"/>
  <c r="X121" s="1"/>
  <c r="AC121"/>
  <c r="P121" s="1"/>
  <c r="AD121"/>
  <c r="AE121"/>
  <c r="AF121"/>
  <c r="AG121"/>
  <c r="CU121" s="1"/>
  <c r="T121" s="1"/>
  <c r="AH121"/>
  <c r="CV121" s="1"/>
  <c r="U121" s="1"/>
  <c r="AI121"/>
  <c r="AJ121"/>
  <c r="CR121"/>
  <c r="CS121"/>
  <c r="CT121"/>
  <c r="CW121"/>
  <c r="V121" s="1"/>
  <c r="CX121"/>
  <c r="W121" s="1"/>
  <c r="FR121"/>
  <c r="GK121"/>
  <c r="GL121"/>
  <c r="GO121"/>
  <c r="GP121"/>
  <c r="GV121"/>
  <c r="HC121"/>
  <c r="GX121" s="1"/>
  <c r="AC122"/>
  <c r="AE122"/>
  <c r="AF122"/>
  <c r="AG122"/>
  <c r="AH122"/>
  <c r="AI122"/>
  <c r="CW122" s="1"/>
  <c r="AJ122"/>
  <c r="CX122" s="1"/>
  <c r="CQ122"/>
  <c r="CR122"/>
  <c r="CU122"/>
  <c r="CV122"/>
  <c r="FR122"/>
  <c r="GL122"/>
  <c r="GO122"/>
  <c r="GP122"/>
  <c r="GV122"/>
  <c r="HC122" s="1"/>
  <c r="B124"/>
  <c r="B117" s="1"/>
  <c r="C124"/>
  <c r="C117" s="1"/>
  <c r="D124"/>
  <c r="D117" s="1"/>
  <c r="F124"/>
  <c r="F117" s="1"/>
  <c r="G124"/>
  <c r="G117" s="1"/>
  <c r="BX124"/>
  <c r="BX117" s="1"/>
  <c r="BY124"/>
  <c r="BY117" s="1"/>
  <c r="BZ124"/>
  <c r="AQ124" s="1"/>
  <c r="CC124"/>
  <c r="CC117" s="1"/>
  <c r="CD124"/>
  <c r="AU124" s="1"/>
  <c r="CK124"/>
  <c r="CK117" s="1"/>
  <c r="CL124"/>
  <c r="BC124" s="1"/>
  <c r="CM124"/>
  <c r="BD124" s="1"/>
  <c r="D154"/>
  <c r="C156"/>
  <c r="D156"/>
  <c r="E156"/>
  <c r="O156"/>
  <c r="S156"/>
  <c r="W156"/>
  <c r="Z156"/>
  <c r="AA156"/>
  <c r="AB156"/>
  <c r="AC156"/>
  <c r="AD156"/>
  <c r="AE156"/>
  <c r="AF156"/>
  <c r="AG156"/>
  <c r="AH156"/>
  <c r="AI156"/>
  <c r="AJ156"/>
  <c r="AK156"/>
  <c r="AL156"/>
  <c r="AM156"/>
  <c r="AN156"/>
  <c r="AP156"/>
  <c r="AQ156"/>
  <c r="AT156"/>
  <c r="AU156"/>
  <c r="AX156"/>
  <c r="AY156"/>
  <c r="BB156"/>
  <c r="BC156"/>
  <c r="BE156"/>
  <c r="BF156"/>
  <c r="BG156"/>
  <c r="BH156"/>
  <c r="BI156"/>
  <c r="BJ156"/>
  <c r="BK156"/>
  <c r="BL156"/>
  <c r="BM156"/>
  <c r="BN156"/>
  <c r="BO156"/>
  <c r="BP156"/>
  <c r="BQ156"/>
  <c r="BR156"/>
  <c r="BS156"/>
  <c r="BT156"/>
  <c r="BU156"/>
  <c r="BV156"/>
  <c r="BW156"/>
  <c r="BX156"/>
  <c r="BY156"/>
  <c r="BZ156"/>
  <c r="CA156"/>
  <c r="CB156"/>
  <c r="CC156"/>
  <c r="CD156"/>
  <c r="CE156"/>
  <c r="CF156"/>
  <c r="CG156"/>
  <c r="CH156"/>
  <c r="CI156"/>
  <c r="CJ156"/>
  <c r="CK156"/>
  <c r="CL156"/>
  <c r="CM156"/>
  <c r="CN156"/>
  <c r="CO156"/>
  <c r="CP156"/>
  <c r="CQ156"/>
  <c r="CR156"/>
  <c r="CS156"/>
  <c r="CT156"/>
  <c r="CU156"/>
  <c r="CV156"/>
  <c r="CW156"/>
  <c r="CX156"/>
  <c r="CY156"/>
  <c r="CZ156"/>
  <c r="DA156"/>
  <c r="DB156"/>
  <c r="DC156"/>
  <c r="DD156"/>
  <c r="DE156"/>
  <c r="DF156"/>
  <c r="DG156"/>
  <c r="DH156"/>
  <c r="DI156"/>
  <c r="DJ156"/>
  <c r="DK156"/>
  <c r="DL156"/>
  <c r="DM156"/>
  <c r="DN156"/>
  <c r="DO156"/>
  <c r="DP156"/>
  <c r="DQ156"/>
  <c r="DR156"/>
  <c r="DS156"/>
  <c r="DT156"/>
  <c r="DU156"/>
  <c r="DV156"/>
  <c r="DW156"/>
  <c r="DX156"/>
  <c r="DY156"/>
  <c r="DZ156"/>
  <c r="EA156"/>
  <c r="EB156"/>
  <c r="EC156"/>
  <c r="ED156"/>
  <c r="EE156"/>
  <c r="EF156"/>
  <c r="EG156"/>
  <c r="EH156"/>
  <c r="EI156"/>
  <c r="EJ156"/>
  <c r="EK156"/>
  <c r="EL156"/>
  <c r="EM156"/>
  <c r="EN156"/>
  <c r="EO156"/>
  <c r="EP156"/>
  <c r="EQ156"/>
  <c r="ER156"/>
  <c r="ES156"/>
  <c r="ET156"/>
  <c r="EU156"/>
  <c r="EV156"/>
  <c r="EW156"/>
  <c r="EX156"/>
  <c r="EY156"/>
  <c r="EZ156"/>
  <c r="FA156"/>
  <c r="FB156"/>
  <c r="FC156"/>
  <c r="FD156"/>
  <c r="FE156"/>
  <c r="FF156"/>
  <c r="FG156"/>
  <c r="FH156"/>
  <c r="FI156"/>
  <c r="FJ156"/>
  <c r="FK156"/>
  <c r="FL156"/>
  <c r="FM156"/>
  <c r="FN156"/>
  <c r="FO156"/>
  <c r="FP156"/>
  <c r="FQ156"/>
  <c r="FR156"/>
  <c r="FS156"/>
  <c r="FT156"/>
  <c r="FU156"/>
  <c r="FV156"/>
  <c r="FW156"/>
  <c r="FX156"/>
  <c r="FY156"/>
  <c r="FZ156"/>
  <c r="GA156"/>
  <c r="GB156"/>
  <c r="GC156"/>
  <c r="GD156"/>
  <c r="GE156"/>
  <c r="GF156"/>
  <c r="GG156"/>
  <c r="GH156"/>
  <c r="GI156"/>
  <c r="GJ156"/>
  <c r="GK156"/>
  <c r="GL156"/>
  <c r="GM156"/>
  <c r="GN156"/>
  <c r="GO156"/>
  <c r="GP156"/>
  <c r="GQ156"/>
  <c r="GR156"/>
  <c r="GS156"/>
  <c r="GT156"/>
  <c r="GU156"/>
  <c r="GV156"/>
  <c r="GW156"/>
  <c r="GX156"/>
  <c r="B158"/>
  <c r="B156" s="1"/>
  <c r="C158"/>
  <c r="D158"/>
  <c r="F158"/>
  <c r="F156" s="1"/>
  <c r="G158"/>
  <c r="G156" s="1"/>
  <c r="O158"/>
  <c r="P158"/>
  <c r="P156" s="1"/>
  <c r="Q158"/>
  <c r="Q156" s="1"/>
  <c r="R158"/>
  <c r="R156" s="1"/>
  <c r="S158"/>
  <c r="T158"/>
  <c r="T156" s="1"/>
  <c r="U158"/>
  <c r="U156" s="1"/>
  <c r="V158"/>
  <c r="F181" s="1"/>
  <c r="W158"/>
  <c r="F182" s="1"/>
  <c r="X158"/>
  <c r="X156" s="1"/>
  <c r="Y158"/>
  <c r="F185" s="1"/>
  <c r="AO158"/>
  <c r="AO156" s="1"/>
  <c r="AP158"/>
  <c r="AQ158"/>
  <c r="AR158"/>
  <c r="AR156" s="1"/>
  <c r="AS158"/>
  <c r="F175" s="1"/>
  <c r="AT158"/>
  <c r="AU158"/>
  <c r="AV158"/>
  <c r="AV156" s="1"/>
  <c r="AW158"/>
  <c r="AW156" s="1"/>
  <c r="AX158"/>
  <c r="AY158"/>
  <c r="AZ158"/>
  <c r="AZ156" s="1"/>
  <c r="BA158"/>
  <c r="BA156" s="1"/>
  <c r="BB158"/>
  <c r="BC158"/>
  <c r="BD158"/>
  <c r="BD156" s="1"/>
  <c r="F160"/>
  <c r="F161"/>
  <c r="F163"/>
  <c r="F164"/>
  <c r="F165"/>
  <c r="F166"/>
  <c r="F167"/>
  <c r="F168"/>
  <c r="F171"/>
  <c r="F172"/>
  <c r="F173"/>
  <c r="F174"/>
  <c r="F176"/>
  <c r="F177"/>
  <c r="F179"/>
  <c r="F180"/>
  <c r="F183"/>
  <c r="F184"/>
  <c r="B188"/>
  <c r="B22" s="1"/>
  <c r="C188"/>
  <c r="C22" s="1"/>
  <c r="D188"/>
  <c r="D22" s="1"/>
  <c r="F188"/>
  <c r="F22" s="1"/>
  <c r="G188"/>
  <c r="G22" s="1"/>
  <c r="B218"/>
  <c r="B18" s="1"/>
  <c r="C218"/>
  <c r="C18" s="1"/>
  <c r="D218"/>
  <c r="D18" s="1"/>
  <c r="F218"/>
  <c r="F18" s="1"/>
  <c r="G218"/>
  <c r="G18" s="1"/>
  <c r="O52" i="5" l="1"/>
  <c r="J128"/>
  <c r="J52"/>
  <c r="J69"/>
  <c r="O135"/>
  <c r="H52"/>
  <c r="W48"/>
  <c r="H135"/>
  <c r="P52"/>
  <c r="P69"/>
  <c r="H81"/>
  <c r="H93"/>
  <c r="J121"/>
  <c r="H121"/>
  <c r="H147"/>
  <c r="H159"/>
  <c r="X191"/>
  <c r="X203"/>
  <c r="J135"/>
  <c r="P135"/>
  <c r="J45"/>
  <c r="J62"/>
  <c r="H69"/>
  <c r="H105"/>
  <c r="P128"/>
  <c r="J191"/>
  <c r="J203"/>
  <c r="P81"/>
  <c r="P93"/>
  <c r="P105"/>
  <c r="J147"/>
  <c r="J159"/>
  <c r="X173"/>
  <c r="X45"/>
  <c r="O62"/>
  <c r="O121"/>
  <c r="X128"/>
  <c r="J173"/>
  <c r="O45"/>
  <c r="H62"/>
  <c r="X69"/>
  <c r="J81"/>
  <c r="X81"/>
  <c r="J93"/>
  <c r="X93"/>
  <c r="J105"/>
  <c r="X105"/>
  <c r="P121"/>
  <c r="O128"/>
  <c r="P147"/>
  <c r="P159"/>
  <c r="O173"/>
  <c r="O191"/>
  <c r="O203"/>
  <c r="H45"/>
  <c r="X52"/>
  <c r="P62"/>
  <c r="O69"/>
  <c r="W72"/>
  <c r="O81"/>
  <c r="W84"/>
  <c r="O93"/>
  <c r="O105"/>
  <c r="X121"/>
  <c r="H128"/>
  <c r="X135"/>
  <c r="X147"/>
  <c r="X159"/>
  <c r="H173"/>
  <c r="H191"/>
  <c r="H203"/>
  <c r="P45"/>
  <c r="W55"/>
  <c r="X62"/>
  <c r="W124"/>
  <c r="W138"/>
  <c r="O147"/>
  <c r="W150"/>
  <c r="O159"/>
  <c r="P173"/>
  <c r="P191"/>
  <c r="P203"/>
  <c r="W38"/>
  <c r="BY71" i="1"/>
  <c r="CI85"/>
  <c r="AP85"/>
  <c r="F149"/>
  <c r="BD117"/>
  <c r="CP121"/>
  <c r="O121" s="1"/>
  <c r="F140"/>
  <c r="BC117"/>
  <c r="AU117"/>
  <c r="F143"/>
  <c r="GK119"/>
  <c r="CC71"/>
  <c r="AT85"/>
  <c r="U82"/>
  <c r="W82"/>
  <c r="S82"/>
  <c r="AQ117"/>
  <c r="F134"/>
  <c r="CP120"/>
  <c r="O120" s="1"/>
  <c r="CZ119"/>
  <c r="Y119" s="1"/>
  <c r="CY119"/>
  <c r="X119" s="1"/>
  <c r="Q82"/>
  <c r="GX82"/>
  <c r="S80"/>
  <c r="CT80"/>
  <c r="CZ76"/>
  <c r="Y76" s="1"/>
  <c r="CY76"/>
  <c r="X76" s="1"/>
  <c r="CZ74"/>
  <c r="Y74" s="1"/>
  <c r="CY74"/>
  <c r="X74" s="1"/>
  <c r="F186"/>
  <c r="F178"/>
  <c r="F170"/>
  <c r="F162"/>
  <c r="AS156"/>
  <c r="Y156"/>
  <c r="AO124"/>
  <c r="CT122"/>
  <c r="CZ121"/>
  <c r="Y121" s="1"/>
  <c r="CZ120"/>
  <c r="Y120" s="1"/>
  <c r="CT119"/>
  <c r="CL117"/>
  <c r="CD117"/>
  <c r="BZ117"/>
  <c r="CG85"/>
  <c r="BB85"/>
  <c r="R82"/>
  <c r="GK82" s="1"/>
  <c r="W80"/>
  <c r="T79"/>
  <c r="CX73" i="3"/>
  <c r="CX77"/>
  <c r="CX70"/>
  <c r="CX74"/>
  <c r="CX78"/>
  <c r="CX71"/>
  <c r="CX75"/>
  <c r="CX72"/>
  <c r="CX76"/>
  <c r="CZ73" i="1"/>
  <c r="Y73" s="1"/>
  <c r="CY73"/>
  <c r="X73" s="1"/>
  <c r="CZ35"/>
  <c r="Y35" s="1"/>
  <c r="CY35"/>
  <c r="X35" s="1"/>
  <c r="CZ31"/>
  <c r="Y31" s="1"/>
  <c r="CY31"/>
  <c r="X31" s="1"/>
  <c r="CZ29"/>
  <c r="Y29" s="1"/>
  <c r="GM29" s="1"/>
  <c r="CY29"/>
  <c r="X29" s="1"/>
  <c r="V156"/>
  <c r="CG124"/>
  <c r="BB124"/>
  <c r="AT124"/>
  <c r="AP124"/>
  <c r="AD122"/>
  <c r="AB122" s="1"/>
  <c r="AB121"/>
  <c r="AB120"/>
  <c r="AD119"/>
  <c r="AB119" s="1"/>
  <c r="CM117"/>
  <c r="BC85"/>
  <c r="AU85"/>
  <c r="AQ85"/>
  <c r="AB83"/>
  <c r="AB81"/>
  <c r="T80"/>
  <c r="AB78"/>
  <c r="CP78"/>
  <c r="O78" s="1"/>
  <c r="CX53" i="3"/>
  <c r="CX57"/>
  <c r="CX61"/>
  <c r="CX54"/>
  <c r="CX58"/>
  <c r="CX55"/>
  <c r="CX59"/>
  <c r="Q80" i="1"/>
  <c r="CX52" i="3"/>
  <c r="CX56"/>
  <c r="CX60"/>
  <c r="I81" i="1"/>
  <c r="U81" s="1"/>
  <c r="I83"/>
  <c r="CZ75"/>
  <c r="Y75" s="1"/>
  <c r="CY75"/>
  <c r="X75" s="1"/>
  <c r="GK28"/>
  <c r="Q119"/>
  <c r="BD85"/>
  <c r="T82"/>
  <c r="CP80"/>
  <c r="O80" s="1"/>
  <c r="V77"/>
  <c r="AI85" s="1"/>
  <c r="CP73"/>
  <c r="O73" s="1"/>
  <c r="CX65" i="3"/>
  <c r="CX69"/>
  <c r="CX62"/>
  <c r="CX66"/>
  <c r="CX63"/>
  <c r="CX67"/>
  <c r="CX64"/>
  <c r="CX68"/>
  <c r="R83" i="1"/>
  <c r="GK83" s="1"/>
  <c r="CS83"/>
  <c r="P82"/>
  <c r="CP82" s="1"/>
  <c r="O82" s="1"/>
  <c r="CQ82"/>
  <c r="CS81"/>
  <c r="S79"/>
  <c r="CP79" s="1"/>
  <c r="O79" s="1"/>
  <c r="CT79"/>
  <c r="CZ36"/>
  <c r="Y36" s="1"/>
  <c r="CY36"/>
  <c r="X36" s="1"/>
  <c r="CZ32"/>
  <c r="Y32" s="1"/>
  <c r="CY32"/>
  <c r="X32" s="1"/>
  <c r="CZ30"/>
  <c r="Y30" s="1"/>
  <c r="CY30"/>
  <c r="X30" s="1"/>
  <c r="GN29"/>
  <c r="CZ28"/>
  <c r="Y28" s="1"/>
  <c r="CY28"/>
  <c r="X28" s="1"/>
  <c r="F169"/>
  <c r="CI124"/>
  <c r="CS122"/>
  <c r="I122"/>
  <c r="R122" s="1"/>
  <c r="CQ121"/>
  <c r="CQ120"/>
  <c r="CS119"/>
  <c r="AO85"/>
  <c r="V83"/>
  <c r="V81"/>
  <c r="GX80"/>
  <c r="U80"/>
  <c r="R80"/>
  <c r="GK80" s="1"/>
  <c r="T37"/>
  <c r="CQ80"/>
  <c r="CQ79"/>
  <c r="CS78"/>
  <c r="R78"/>
  <c r="GK78" s="1"/>
  <c r="CS77"/>
  <c r="I77"/>
  <c r="W77" s="1"/>
  <c r="CQ76"/>
  <c r="CQ75"/>
  <c r="CQ74"/>
  <c r="CQ73"/>
  <c r="BC39"/>
  <c r="AU39"/>
  <c r="AQ39"/>
  <c r="CT36"/>
  <c r="CT35"/>
  <c r="Q34"/>
  <c r="CP34" s="1"/>
  <c r="O34" s="1"/>
  <c r="CT32"/>
  <c r="CT31"/>
  <c r="CT30"/>
  <c r="CT29"/>
  <c r="CT28"/>
  <c r="CX48" i="3"/>
  <c r="CX44"/>
  <c r="CX40"/>
  <c r="CX36"/>
  <c r="CX32"/>
  <c r="CX28"/>
  <c r="CX24"/>
  <c r="CX20"/>
  <c r="CX16"/>
  <c r="CX12"/>
  <c r="CX8"/>
  <c r="CX4"/>
  <c r="Q76" i="1"/>
  <c r="CP76" s="1"/>
  <c r="O76" s="1"/>
  <c r="Q75"/>
  <c r="CP75" s="1"/>
  <c r="O75" s="1"/>
  <c r="Q74"/>
  <c r="CP74" s="1"/>
  <c r="O74" s="1"/>
  <c r="Q73"/>
  <c r="CI39"/>
  <c r="BD39"/>
  <c r="I37"/>
  <c r="V37" s="1"/>
  <c r="P36"/>
  <c r="P35"/>
  <c r="CP35" s="1"/>
  <c r="O35" s="1"/>
  <c r="I33"/>
  <c r="U33" s="1"/>
  <c r="P32"/>
  <c r="P31"/>
  <c r="CP31" s="1"/>
  <c r="O31" s="1"/>
  <c r="P30"/>
  <c r="CP30" s="1"/>
  <c r="O30" s="1"/>
  <c r="AD28"/>
  <c r="AB28" s="1"/>
  <c r="CX51" i="3"/>
  <c r="CX47"/>
  <c r="CX43"/>
  <c r="CX39"/>
  <c r="CX35"/>
  <c r="CX31"/>
  <c r="CX27"/>
  <c r="CX23"/>
  <c r="CX19"/>
  <c r="CX15"/>
  <c r="CX11"/>
  <c r="CX7"/>
  <c r="CX3"/>
  <c r="AB73" i="1"/>
  <c r="AO39"/>
  <c r="Q36"/>
  <c r="Q32"/>
  <c r="Q30"/>
  <c r="Q28"/>
  <c r="CP28" s="1"/>
  <c r="O28" s="1"/>
  <c r="CX50" i="3"/>
  <c r="CX46"/>
  <c r="CX42"/>
  <c r="CX38"/>
  <c r="CX26"/>
  <c r="CX22"/>
  <c r="CX18"/>
  <c r="CX14"/>
  <c r="CX10"/>
  <c r="CX6"/>
  <c r="CX2"/>
  <c r="CT76" i="1"/>
  <c r="CT75"/>
  <c r="CT74"/>
  <c r="CT73"/>
  <c r="BB39"/>
  <c r="AX39"/>
  <c r="AT39"/>
  <c r="AP39"/>
  <c r="CX49" i="3"/>
  <c r="CX41"/>
  <c r="CX25"/>
  <c r="CX21"/>
  <c r="CX13"/>
  <c r="H212" i="5" l="1"/>
  <c r="H107"/>
  <c r="I23"/>
  <c r="J212"/>
  <c r="J107"/>
  <c r="I28"/>
  <c r="J175"/>
  <c r="H175"/>
  <c r="J205"/>
  <c r="H205"/>
  <c r="I24"/>
  <c r="GN74" i="1"/>
  <c r="GM74"/>
  <c r="GN28"/>
  <c r="GM28"/>
  <c r="GN76"/>
  <c r="GM76"/>
  <c r="GK122"/>
  <c r="AE124"/>
  <c r="AJ85"/>
  <c r="GN34"/>
  <c r="GM34"/>
  <c r="GN75"/>
  <c r="GM75"/>
  <c r="F57"/>
  <c r="AT26"/>
  <c r="AT188"/>
  <c r="F48"/>
  <c r="AP26"/>
  <c r="AP188"/>
  <c r="GN31"/>
  <c r="GM31"/>
  <c r="F49"/>
  <c r="AQ26"/>
  <c r="AQ188"/>
  <c r="AZ124"/>
  <c r="CI117"/>
  <c r="S83"/>
  <c r="Q83"/>
  <c r="W83"/>
  <c r="BC71"/>
  <c r="F101"/>
  <c r="F137"/>
  <c r="BB117"/>
  <c r="BB71"/>
  <c r="F98"/>
  <c r="CP36"/>
  <c r="O36" s="1"/>
  <c r="GX33"/>
  <c r="T77"/>
  <c r="R81"/>
  <c r="GK81" s="1"/>
  <c r="W81"/>
  <c r="U77"/>
  <c r="V33"/>
  <c r="AI39" s="1"/>
  <c r="S122"/>
  <c r="F46"/>
  <c r="AX26"/>
  <c r="F52"/>
  <c r="BB26"/>
  <c r="BB188"/>
  <c r="AO26"/>
  <c r="F43"/>
  <c r="AO188"/>
  <c r="GN30"/>
  <c r="GM30"/>
  <c r="GN35"/>
  <c r="GM35"/>
  <c r="CI26"/>
  <c r="AZ39"/>
  <c r="Q77"/>
  <c r="AD85" s="1"/>
  <c r="P77"/>
  <c r="S77"/>
  <c r="GM80"/>
  <c r="AU71"/>
  <c r="F104"/>
  <c r="AT117"/>
  <c r="F142"/>
  <c r="GN121"/>
  <c r="GM121"/>
  <c r="CI71"/>
  <c r="AZ85"/>
  <c r="T33"/>
  <c r="AG39" s="1"/>
  <c r="GX37"/>
  <c r="W37"/>
  <c r="P83"/>
  <c r="CP83" s="1"/>
  <c r="O83" s="1"/>
  <c r="CP119"/>
  <c r="O119" s="1"/>
  <c r="P33"/>
  <c r="S33"/>
  <c r="R33"/>
  <c r="Q33"/>
  <c r="AD39" s="1"/>
  <c r="BC26"/>
  <c r="F55"/>
  <c r="BC188"/>
  <c r="AO71"/>
  <c r="F89"/>
  <c r="Q122"/>
  <c r="AD124" s="1"/>
  <c r="P122"/>
  <c r="CZ79"/>
  <c r="Y79" s="1"/>
  <c r="CY79"/>
  <c r="X79" s="1"/>
  <c r="GN79" s="1"/>
  <c r="GM82"/>
  <c r="GN73"/>
  <c r="GM73"/>
  <c r="AI71"/>
  <c r="V85"/>
  <c r="BD71"/>
  <c r="F110"/>
  <c r="GM78"/>
  <c r="GN78"/>
  <c r="AQ71"/>
  <c r="F95"/>
  <c r="F133"/>
  <c r="AP117"/>
  <c r="CY82"/>
  <c r="X82" s="1"/>
  <c r="GN82" s="1"/>
  <c r="CZ82"/>
  <c r="Y82" s="1"/>
  <c r="AT71"/>
  <c r="F103"/>
  <c r="AP71"/>
  <c r="F94"/>
  <c r="W33"/>
  <c r="AJ39" s="1"/>
  <c r="U122"/>
  <c r="AH124" s="1"/>
  <c r="T122"/>
  <c r="AG124" s="1"/>
  <c r="T83"/>
  <c r="BD26"/>
  <c r="F64"/>
  <c r="BD188"/>
  <c r="P37"/>
  <c r="S37"/>
  <c r="R37"/>
  <c r="GK37" s="1"/>
  <c r="Q37"/>
  <c r="F58"/>
  <c r="AU26"/>
  <c r="AU188"/>
  <c r="Q81"/>
  <c r="S81"/>
  <c r="T81"/>
  <c r="P81"/>
  <c r="CG117"/>
  <c r="AX124"/>
  <c r="CG71"/>
  <c r="AX85"/>
  <c r="AO117"/>
  <c r="F128"/>
  <c r="CZ80"/>
  <c r="Y80" s="1"/>
  <c r="CY80"/>
  <c r="X80" s="1"/>
  <c r="GN80" s="1"/>
  <c r="GN120"/>
  <c r="GM120"/>
  <c r="CP32"/>
  <c r="O32" s="1"/>
  <c r="R77"/>
  <c r="GX77"/>
  <c r="CJ85" s="1"/>
  <c r="GX83"/>
  <c r="U37"/>
  <c r="AH39" s="1"/>
  <c r="W122"/>
  <c r="AJ124" s="1"/>
  <c r="GX81"/>
  <c r="U83"/>
  <c r="V122"/>
  <c r="AI124" s="1"/>
  <c r="GX122"/>
  <c r="CJ124" s="1"/>
  <c r="U39" l="1"/>
  <c r="AH26"/>
  <c r="Q39"/>
  <c r="AD26"/>
  <c r="AD71"/>
  <c r="Q85"/>
  <c r="AD117"/>
  <c r="Q124"/>
  <c r="AG117"/>
  <c r="T124"/>
  <c r="F131"/>
  <c r="AX117"/>
  <c r="CY81"/>
  <c r="X81" s="1"/>
  <c r="CZ81"/>
  <c r="Y81" s="1"/>
  <c r="GM83"/>
  <c r="GN32"/>
  <c r="GM32"/>
  <c r="AH117"/>
  <c r="U124"/>
  <c r="AZ71"/>
  <c r="F96"/>
  <c r="CZ122"/>
  <c r="Y122" s="1"/>
  <c r="AL124" s="1"/>
  <c r="CY122"/>
  <c r="X122" s="1"/>
  <c r="AK124" s="1"/>
  <c r="AF124"/>
  <c r="AZ117"/>
  <c r="F135"/>
  <c r="AX188"/>
  <c r="CP33"/>
  <c r="O33" s="1"/>
  <c r="AC39"/>
  <c r="AI117"/>
  <c r="V124"/>
  <c r="CY37"/>
  <c r="X37" s="1"/>
  <c r="CZ37"/>
  <c r="Y37" s="1"/>
  <c r="CJ117"/>
  <c r="BA124"/>
  <c r="AJ117"/>
  <c r="W124"/>
  <c r="GK77"/>
  <c r="AE85"/>
  <c r="AX71"/>
  <c r="F92"/>
  <c r="AU22"/>
  <c r="F207"/>
  <c r="AU218"/>
  <c r="CY33"/>
  <c r="X33" s="1"/>
  <c r="AK39" s="1"/>
  <c r="CZ33"/>
  <c r="Y33" s="1"/>
  <c r="AL39" s="1"/>
  <c r="AF39"/>
  <c r="CP77"/>
  <c r="O77" s="1"/>
  <c r="AC85"/>
  <c r="AO22"/>
  <c r="F192"/>
  <c r="AO218"/>
  <c r="CP37"/>
  <c r="O37" s="1"/>
  <c r="AB39" s="1"/>
  <c r="CP81"/>
  <c r="O81" s="1"/>
  <c r="AH85"/>
  <c r="CJ39"/>
  <c r="CP122"/>
  <c r="O122" s="1"/>
  <c r="AC124"/>
  <c r="BC22"/>
  <c r="F204"/>
  <c r="BC218"/>
  <c r="GK33"/>
  <c r="AE39"/>
  <c r="AG26"/>
  <c r="T39"/>
  <c r="CZ77"/>
  <c r="Y77" s="1"/>
  <c r="AL85" s="1"/>
  <c r="CY77"/>
  <c r="X77" s="1"/>
  <c r="AK85" s="1"/>
  <c r="AF85"/>
  <c r="BB22"/>
  <c r="BB218"/>
  <c r="F201"/>
  <c r="CZ83"/>
  <c r="Y83" s="1"/>
  <c r="CY83"/>
  <c r="X83" s="1"/>
  <c r="GN83" s="1"/>
  <c r="AP22"/>
  <c r="AP218"/>
  <c r="F197"/>
  <c r="G16" i="2" s="1"/>
  <c r="G18" s="1"/>
  <c r="AE117" i="1"/>
  <c r="R124"/>
  <c r="AG85"/>
  <c r="GM79"/>
  <c r="CJ71"/>
  <c r="BA85"/>
  <c r="BD22"/>
  <c r="F213"/>
  <c r="BD218"/>
  <c r="AJ26"/>
  <c r="W39"/>
  <c r="V71"/>
  <c r="F108"/>
  <c r="GN119"/>
  <c r="GM119"/>
  <c r="AB124"/>
  <c r="F50"/>
  <c r="AZ26"/>
  <c r="AZ188"/>
  <c r="V39"/>
  <c r="AI26"/>
  <c r="GN36"/>
  <c r="GM36"/>
  <c r="AQ22"/>
  <c r="F198"/>
  <c r="AQ218"/>
  <c r="AT22"/>
  <c r="F206"/>
  <c r="F16" i="2" s="1"/>
  <c r="F18" s="1"/>
  <c r="AT218" i="1"/>
  <c r="AJ71"/>
  <c r="W85"/>
  <c r="AB26" l="1"/>
  <c r="O39"/>
  <c r="AK71"/>
  <c r="X85"/>
  <c r="Y39"/>
  <c r="AL26"/>
  <c r="AX22"/>
  <c r="F195"/>
  <c r="AX218"/>
  <c r="AZ22"/>
  <c r="F199"/>
  <c r="AZ218"/>
  <c r="W26"/>
  <c r="F63"/>
  <c r="W188"/>
  <c r="AF71"/>
  <c r="S85"/>
  <c r="AF26"/>
  <c r="S39"/>
  <c r="AE71"/>
  <c r="R85"/>
  <c r="BA117"/>
  <c r="F144"/>
  <c r="F147"/>
  <c r="V117"/>
  <c r="GN33"/>
  <c r="GM33"/>
  <c r="AF117"/>
  <c r="S124"/>
  <c r="U26"/>
  <c r="F61"/>
  <c r="AG71"/>
  <c r="T85"/>
  <c r="CJ26"/>
  <c r="BA39"/>
  <c r="AK117"/>
  <c r="X124"/>
  <c r="U117"/>
  <c r="F146"/>
  <c r="Q117"/>
  <c r="F136"/>
  <c r="W71"/>
  <c r="F109"/>
  <c r="F62"/>
  <c r="V26"/>
  <c r="V188"/>
  <c r="AB117"/>
  <c r="O124"/>
  <c r="T26"/>
  <c r="F60"/>
  <c r="T188"/>
  <c r="BC18"/>
  <c r="F234"/>
  <c r="GN122"/>
  <c r="CB124" s="1"/>
  <c r="GM122"/>
  <c r="GN81"/>
  <c r="GM81"/>
  <c r="AO18"/>
  <c r="F222"/>
  <c r="GM77"/>
  <c r="CA85" s="1"/>
  <c r="GN77"/>
  <c r="AB85"/>
  <c r="AU18"/>
  <c r="F237"/>
  <c r="AC26"/>
  <c r="CF39"/>
  <c r="P39"/>
  <c r="CE39"/>
  <c r="CH39"/>
  <c r="F145"/>
  <c r="T117"/>
  <c r="Q71"/>
  <c r="F97"/>
  <c r="CA124"/>
  <c r="BA71"/>
  <c r="F105"/>
  <c r="AP18"/>
  <c r="F227"/>
  <c r="R39"/>
  <c r="AE26"/>
  <c r="AT18"/>
  <c r="F236"/>
  <c r="BD18"/>
  <c r="F243"/>
  <c r="R117"/>
  <c r="F138"/>
  <c r="BB18"/>
  <c r="F231"/>
  <c r="AL71"/>
  <c r="Y85"/>
  <c r="AC117"/>
  <c r="P124"/>
  <c r="CE124"/>
  <c r="CH124"/>
  <c r="CF124"/>
  <c r="AH71"/>
  <c r="U85"/>
  <c r="GN37"/>
  <c r="GM37"/>
  <c r="AC71"/>
  <c r="P85"/>
  <c r="CF85"/>
  <c r="CE85"/>
  <c r="CH85"/>
  <c r="AK26"/>
  <c r="X39"/>
  <c r="F148"/>
  <c r="W117"/>
  <c r="AL117"/>
  <c r="Y124"/>
  <c r="Q26"/>
  <c r="F51"/>
  <c r="Q188"/>
  <c r="AQ18"/>
  <c r="F228"/>
  <c r="CB117" l="1"/>
  <c r="AS124"/>
  <c r="X26"/>
  <c r="F65"/>
  <c r="X188"/>
  <c r="AY124"/>
  <c r="CH117"/>
  <c r="CF26"/>
  <c r="AW39"/>
  <c r="AB71"/>
  <c r="O85"/>
  <c r="V22"/>
  <c r="F211"/>
  <c r="V218"/>
  <c r="S117"/>
  <c r="F139"/>
  <c r="R71"/>
  <c r="F99"/>
  <c r="S71"/>
  <c r="F100"/>
  <c r="AX18"/>
  <c r="F225"/>
  <c r="Y26"/>
  <c r="F66"/>
  <c r="Y188"/>
  <c r="F53"/>
  <c r="R26"/>
  <c r="R188"/>
  <c r="F42"/>
  <c r="P26"/>
  <c r="P188"/>
  <c r="T22"/>
  <c r="T218"/>
  <c r="F209"/>
  <c r="BA26"/>
  <c r="F59"/>
  <c r="BA188"/>
  <c r="F41"/>
  <c r="O26"/>
  <c r="O188"/>
  <c r="CB39"/>
  <c r="Y117"/>
  <c r="F151"/>
  <c r="AR124"/>
  <c r="CA117"/>
  <c r="CE26"/>
  <c r="AV39"/>
  <c r="CA71"/>
  <c r="AR85"/>
  <c r="O117"/>
  <c r="F126"/>
  <c r="F54"/>
  <c r="S26"/>
  <c r="S188"/>
  <c r="W22"/>
  <c r="F212"/>
  <c r="W218"/>
  <c r="CA39"/>
  <c r="CF71"/>
  <c r="AW85"/>
  <c r="Y71"/>
  <c r="F112"/>
  <c r="CE71"/>
  <c r="AV85"/>
  <c r="CF117"/>
  <c r="AW124"/>
  <c r="CH71"/>
  <c r="AY85"/>
  <c r="P117"/>
  <c r="F127"/>
  <c r="Q22"/>
  <c r="F200"/>
  <c r="Q218"/>
  <c r="P71"/>
  <c r="F88"/>
  <c r="U71"/>
  <c r="F107"/>
  <c r="AV124"/>
  <c r="CE117"/>
  <c r="CH26"/>
  <c r="AY39"/>
  <c r="X117"/>
  <c r="F150"/>
  <c r="T71"/>
  <c r="F106"/>
  <c r="AZ18"/>
  <c r="F229"/>
  <c r="X71"/>
  <c r="F111"/>
  <c r="CB85"/>
  <c r="U188"/>
  <c r="AY71" l="1"/>
  <c r="F93"/>
  <c r="R22"/>
  <c r="F202"/>
  <c r="R218"/>
  <c r="AY26"/>
  <c r="F47"/>
  <c r="AY188"/>
  <c r="Q18"/>
  <c r="F230"/>
  <c r="W18"/>
  <c r="F242"/>
  <c r="AR71"/>
  <c r="F113"/>
  <c r="CB26"/>
  <c r="AS39"/>
  <c r="BA22"/>
  <c r="BA218"/>
  <c r="F208"/>
  <c r="H16" i="2" s="1"/>
  <c r="H18" s="1"/>
  <c r="T18" i="1"/>
  <c r="F239"/>
  <c r="Y22"/>
  <c r="Y218"/>
  <c r="F215"/>
  <c r="AW26"/>
  <c r="F45"/>
  <c r="AW188"/>
  <c r="X22"/>
  <c r="F214"/>
  <c r="X218"/>
  <c r="AV71"/>
  <c r="F90"/>
  <c r="O22"/>
  <c r="F190"/>
  <c r="O218"/>
  <c r="CB71"/>
  <c r="AS85"/>
  <c r="F129"/>
  <c r="AV117"/>
  <c r="AW117"/>
  <c r="F130"/>
  <c r="CA26"/>
  <c r="AR39"/>
  <c r="S22"/>
  <c r="S218"/>
  <c r="F203"/>
  <c r="J16" i="2" s="1"/>
  <c r="J18" s="1"/>
  <c r="V18" i="1"/>
  <c r="F241"/>
  <c r="F132"/>
  <c r="AY117"/>
  <c r="AS117"/>
  <c r="F141"/>
  <c r="AW71"/>
  <c r="F91"/>
  <c r="AR117"/>
  <c r="F152"/>
  <c r="U22"/>
  <c r="F210"/>
  <c r="U218"/>
  <c r="AV26"/>
  <c r="F44"/>
  <c r="AV188"/>
  <c r="P22"/>
  <c r="F191"/>
  <c r="P218"/>
  <c r="O71"/>
  <c r="F87"/>
  <c r="U18" l="1"/>
  <c r="F240"/>
  <c r="AR26"/>
  <c r="F67"/>
  <c r="AR188"/>
  <c r="Y18"/>
  <c r="F245"/>
  <c r="P18"/>
  <c r="F221"/>
  <c r="S18"/>
  <c r="F233"/>
  <c r="AS71"/>
  <c r="F102"/>
  <c r="R18"/>
  <c r="F232"/>
  <c r="O18"/>
  <c r="F220"/>
  <c r="AW22"/>
  <c r="F194"/>
  <c r="AW218"/>
  <c r="AV22"/>
  <c r="F193"/>
  <c r="AV218"/>
  <c r="X18"/>
  <c r="F244"/>
  <c r="BA18"/>
  <c r="F238"/>
  <c r="AS26"/>
  <c r="F56"/>
  <c r="AS188"/>
  <c r="AY22"/>
  <c r="F196"/>
  <c r="AY218"/>
  <c r="AV18" l="1"/>
  <c r="F223"/>
  <c r="AW18"/>
  <c r="F224"/>
  <c r="AY18"/>
  <c r="F226"/>
  <c r="AR22"/>
  <c r="F216"/>
  <c r="AR218"/>
  <c r="AS22"/>
  <c r="F205"/>
  <c r="E16" i="2" s="1"/>
  <c r="AS218" i="1"/>
  <c r="AR18" l="1"/>
  <c r="F246"/>
  <c r="E18" i="2"/>
  <c r="I16"/>
  <c r="I18" s="1"/>
  <c r="AS18" i="1"/>
  <c r="F235"/>
</calcChain>
</file>

<file path=xl/sharedStrings.xml><?xml version="1.0" encoding="utf-8"?>
<sst xmlns="http://schemas.openxmlformats.org/spreadsheetml/2006/main" count="3187" uniqueCount="375">
  <si>
    <t>Smeta.RU  (495) 974-1589</t>
  </si>
  <si>
    <t>_PS_</t>
  </si>
  <si>
    <t>Smeta.RU</t>
  </si>
  <si>
    <t/>
  </si>
  <si>
    <t>Новый объект</t>
  </si>
  <si>
    <t>Таганка Корт СМР</t>
  </si>
  <si>
    <t>Сметные нормы списания</t>
  </si>
  <si>
    <t>Коды ОКП для ТСН-2001 МГЭ</t>
  </si>
  <si>
    <t>ТСН-2001 (МГЭ) - Новое строительство (3)</t>
  </si>
  <si>
    <t>Типовой расчет для ТСН-2001 МГЭ, Новая методика с выпуска доп. 43 (Ремонт), Доп 58</t>
  </si>
  <si>
    <t>Территориальные сметные нормативы для Москвы ТСН-2001 (МГЭ)</t>
  </si>
  <si>
    <t>Поправки для ТСН-2001 от 21.10.2020 г. доп.58</t>
  </si>
  <si>
    <t>Новая локальная смета</t>
  </si>
  <si>
    <t>Новый раздел</t>
  </si>
  <si>
    <t>10.1. Устройство новых оснований площадок (Корт)</t>
  </si>
  <si>
    <t>1</t>
  </si>
  <si>
    <t>3.1-6-10</t>
  </si>
  <si>
    <t>Разработка грунта с погрузкой на автомобили-самосвалы экскаваторами с ковшом вместимостью 0,5 м3 группа грунтов 1-3</t>
  </si>
  <si>
    <t>100 м3 грунта</t>
  </si>
  <si>
    <t>ТСН-2001.3. Доп. 1-42. Сб. 1, т. 6, поз. 10</t>
  </si>
  <si>
    <t>Строительные работы</t>
  </si>
  <si>
    <t>ТСН-2001.3-1. 1-1...1-7</t>
  </si>
  <si>
    <t>ТСН-2001.3-1-1</t>
  </si>
  <si>
    <t>2</t>
  </si>
  <si>
    <t>3.1-51-1</t>
  </si>
  <si>
    <t>Разработка грунта вручную в траншеях глубиной до 2 м без креплений с откосами группа грунтов 1-3</t>
  </si>
  <si>
    <t>ТСН-2001.3. Доп. 1-42. Сб. 1, т. 51, поз. 1</t>
  </si>
  <si>
    <t>ТСН-2001.3-1. 1-49...1-55</t>
  </si>
  <si>
    <t>ТСН-2001.3-1-15</t>
  </si>
  <si>
    <t>3</t>
  </si>
  <si>
    <t>4</t>
  </si>
  <si>
    <t>6.51-6-1</t>
  </si>
  <si>
    <t>Погрузка грунта вручную в автомобили-самосвалы с выгрузкой</t>
  </si>
  <si>
    <t>ТСН-2001.6. Доп. 1-42. Сб. 51, т. 6, поз. 1</t>
  </si>
  <si>
    <t>Ремонтно-строительные работы</t>
  </si>
  <si>
    <t>ТСН-2001.6-51. 51-6</t>
  </si>
  <si>
    <t>ТСН-2001.6-51-4</t>
  </si>
  <si>
    <t>5</t>
  </si>
  <si>
    <t>3.27-12-1</t>
  </si>
  <si>
    <t>Устройство подстилающих и выравнивающих слоев оснований из песка</t>
  </si>
  <si>
    <t>100 м3 материала основания (в плотном теле)</t>
  </si>
  <si>
    <t>ТСН-2001.3. Доп. 1-42. Сб. 27, т. 12, поз. 1</t>
  </si>
  <si>
    <t>ТСН-2001.3-27. 27-1...27-21</t>
  </si>
  <si>
    <t>ТСН-2001.3-27-1</t>
  </si>
  <si>
    <t>5,1</t>
  </si>
  <si>
    <t>1.1-1-766</t>
  </si>
  <si>
    <t>Песок для строительных работ, рядовой</t>
  </si>
  <si>
    <t>м3</t>
  </si>
  <si>
    <t>ТСН-2001.1. Доп. 1-42. Р. 1, о. 1, поз. 766</t>
  </si>
  <si>
    <t>6</t>
  </si>
  <si>
    <t>3.27-12-2</t>
  </si>
  <si>
    <t>Устройство подстилающих и выравнивающих слоев оснований из щебня</t>
  </si>
  <si>
    <t>ТСН-2001.3. Доп. 1-42. Сб. 27, т. 12, поз. 2</t>
  </si>
  <si>
    <t>6,1</t>
  </si>
  <si>
    <t>1.1-1-1550</t>
  </si>
  <si>
    <t>Щебень из естественного камня для дорожных работ, марка 600 - 400, фракция 20-40 мм</t>
  </si>
  <si>
    <t>ТСН-2001.1. Доп. 1-42. Р. 1, о. 1, поз. 1550</t>
  </si>
  <si>
    <t>7</t>
  </si>
  <si>
    <t>3.27-47-4</t>
  </si>
  <si>
    <t>Устройство асфальтобетонных покрытий дорожек и тротуаров двухслойных верхний слой из песчаной асфальтобетонной смеси толщиной 3 см</t>
  </si>
  <si>
    <t>100 м2 покрытия</t>
  </si>
  <si>
    <t>ТСН-2001.3 Доп. 51, Сб. 27, т. 47, поз. 4</t>
  </si>
  <si>
    <t>ТСН-2001.3-27. 27-47</t>
  </si>
  <si>
    <t>ТСН-2001.3-27-14</t>
  </si>
  <si>
    <t>7,1</t>
  </si>
  <si>
    <t>1.3-3-51</t>
  </si>
  <si>
    <t>Смеси асфальтобетонные дорожные горячие песчаные, тип Д, марка II</t>
  </si>
  <si>
    <t>т</t>
  </si>
  <si>
    <t>ТСН-2001.1. Доп. 1-42. Р. 3, о. 3, поз. 51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</si>
  <si>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</si>
  <si>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</si>
  <si>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</si>
  <si>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</si>
  <si>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</si>
  <si>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</si>
  <si>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</si>
  <si>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</si>
  <si>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</si>
  <si>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</si>
  <si>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</si>
  <si>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</si>
  <si>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</si>
  <si>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</si>
  <si>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</si>
  <si>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</si>
  <si>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</si>
  <si>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</si>
  <si>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</si>
  <si>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</si>
  <si>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</si>
  <si>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</si>
  <si>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</si>
  <si>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</si>
  <si>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</si>
  <si>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</si>
  <si>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</si>
  <si>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</si>
  <si>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</si>
  <si>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</si>
  <si>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</si>
  <si>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</si>
  <si>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</si>
  <si>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</si>
  <si>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</si>
  <si>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</si>
  <si>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</si>
  <si>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</si>
  <si>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</si>
  <si>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</si>
  <si>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</si>
  <si>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</si>
  <si>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</si>
  <si>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</si>
  <si>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</si>
  <si>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</si>
  <si>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</si>
  <si>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</si>
  <si>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</si>
  <si>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</si>
  <si>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</si>
  <si>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</si>
  <si>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</si>
  <si>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</si>
  <si>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27.1 Плиточное покрытие</t>
  </si>
  <si>
    <t>8</t>
  </si>
  <si>
    <t>9</t>
  </si>
  <si>
    <t>10</t>
  </si>
  <si>
    <t>11</t>
  </si>
  <si>
    <t>11,1</t>
  </si>
  <si>
    <t>12</t>
  </si>
  <si>
    <t>12,1</t>
  </si>
  <si>
    <t>13</t>
  </si>
  <si>
    <t>3.47-69-1</t>
  </si>
  <si>
    <t>Устройство покрытий тротуаров из бетонной плитки типа "Брусчатка" рядовым или паркетным мощением</t>
  </si>
  <si>
    <t>100 м2</t>
  </si>
  <si>
    <t>ТСН-2001.3 Доп. 53, Сб. 47, т. 69, поз. 1</t>
  </si>
  <si>
    <t>ТСН-2001.3-47. 47-69</t>
  </si>
  <si>
    <t>ТСН-2001.3-47-14</t>
  </si>
  <si>
    <t>13,1</t>
  </si>
  <si>
    <t>1.7-3-75</t>
  </si>
  <si>
    <t>Диск отрезной с алмазным покрытием, диаметр 230 мм, высота сегмента 7 мм</t>
  </si>
  <si>
    <t>шт.</t>
  </si>
  <si>
    <t>ТСН-2001.1. Доп. 1-42. Р. 7, о. 3, поз. 75</t>
  </si>
  <si>
    <t>13,2</t>
  </si>
  <si>
    <t>1.5-3-394</t>
  </si>
  <si>
    <t>Плиты бетонные тротуарные, толщина 70 мм, разного цвета</t>
  </si>
  <si>
    <t>м2</t>
  </si>
  <si>
    <t>ТСН-2001.1. Доп. 1-42. Р. 5, о. 3, поз. 394</t>
  </si>
  <si>
    <t>13,3</t>
  </si>
  <si>
    <t>1.3-2-18</t>
  </si>
  <si>
    <t>Смеси сухие монтажно-кладочные цементно-песчаные, В7,5 (М100), F50, крупность заполнителя не более 3,5 мм</t>
  </si>
  <si>
    <t>ТСН-2001.1. Доп. 1-42. Р. 3, о. 2, поз. 18</t>
  </si>
  <si>
    <t>28. Камень бортовой садовый</t>
  </si>
  <si>
    <t>14</t>
  </si>
  <si>
    <t>14,1</t>
  </si>
  <si>
    <t>15</t>
  </si>
  <si>
    <t>3.27-26-6</t>
  </si>
  <si>
    <t>Установка бортовых камней бетонных газонных и садовых при других видах покрытий</t>
  </si>
  <si>
    <t>100 м бортового камня</t>
  </si>
  <si>
    <t>ТСН-2001.3 Доп. 53, Сб. 27, т. 26, поз. 6</t>
  </si>
  <si>
    <t>ТСН-2001.3-27. 27-26-5, 27-26-6 (доп. 29)</t>
  </si>
  <si>
    <t>ТСН-2001.3-27-40</t>
  </si>
  <si>
    <t>15,1</t>
  </si>
  <si>
    <t>1.5-3-499</t>
  </si>
  <si>
    <t>Камни бетонные бортовые, марка БР 100.20.8</t>
  </si>
  <si>
    <t>ТСН-2001.1. Доп. 1-42. Р. 5, о. 3, поз. 499</t>
  </si>
  <si>
    <t>НДС 20%</t>
  </si>
  <si>
    <t>Уровень цен</t>
  </si>
  <si>
    <t>Сборник индексов</t>
  </si>
  <si>
    <t>Коэффициенты к ТСН-2001 МГЭ</t>
  </si>
  <si>
    <t>_OBSM_</t>
  </si>
  <si>
    <t>9999990008</t>
  </si>
  <si>
    <t>Трудозатраты рабочих</t>
  </si>
  <si>
    <t>чел.-ч.</t>
  </si>
  <si>
    <t>2.1-1-4</t>
  </si>
  <si>
    <t>ТСН-2001.2. Доп. 1-42, п. 1-1-4 (010105)</t>
  </si>
  <si>
    <t>Экскаваторы на гусеничном ходу гидравлические, объем ковша до 0,5 м3</t>
  </si>
  <si>
    <t>маш.-ч.</t>
  </si>
  <si>
    <t>2.1-1-44</t>
  </si>
  <si>
    <t>ТСН-2001.2. Доп. 1-42, п. 1-1-44 (012103)</t>
  </si>
  <si>
    <t>Бульдозеры гусеничные, мощность до 79 кВт (108 л.с.)</t>
  </si>
  <si>
    <t>2.1-2-1</t>
  </si>
  <si>
    <t>ТСН-2001.2. Доп. 1-42, п. 1-2-1 (020101)</t>
  </si>
  <si>
    <t>Тракторы на гусеничном ходу, мощность до 60 кВт (81 л.с.)</t>
  </si>
  <si>
    <t>2.1-5-15</t>
  </si>
  <si>
    <t>ТСН-2001.2. Доп. 1-42, п. 1-5-15 (050703)</t>
  </si>
  <si>
    <t>Катки прицепные пневмоколесные, масса до 50 т</t>
  </si>
  <si>
    <t>2.1-5-18</t>
  </si>
  <si>
    <t>ТСН-2001.2. Доп. 1-42, п. 1-5-18 (050902)</t>
  </si>
  <si>
    <t>Поливомоечные машины, емкость цистерны более 5000 л</t>
  </si>
  <si>
    <t>2.1-5-48</t>
  </si>
  <si>
    <t>ТСН-2001.2. Доп. 1-42, п. 1-5-48 (056003)</t>
  </si>
  <si>
    <t>Автогрейдеры, мощность 99-147 кВт (130-200 л.с.)</t>
  </si>
  <si>
    <t>2.1-5-7</t>
  </si>
  <si>
    <t>ТСН-2001.2. Доп. 1-42, п. 1-5-7 (050301)</t>
  </si>
  <si>
    <t>Катки дорожные самоходные на пневмоколесном ходу, масса до 16 т</t>
  </si>
  <si>
    <t>1.1-1-118</t>
  </si>
  <si>
    <t>ТСН-2001.1. Доп. 1-42. Р. 1, о. 1, поз. 118</t>
  </si>
  <si>
    <t>Вода</t>
  </si>
  <si>
    <t>2.1-1-43</t>
  </si>
  <si>
    <t>ТСН-2001.2. Доп. 1-42, п. 1-1-43 (012102)</t>
  </si>
  <si>
    <t>Бульдозеры гусеничные, мощность до 59 кВт (80 л.с.)</t>
  </si>
  <si>
    <t>2.1-5-2</t>
  </si>
  <si>
    <t>ТСН-2001.2. Доп. 1-42, п. 1-5-2 (050102)</t>
  </si>
  <si>
    <t>Катки самоходные вибрационные, масса до 8 т</t>
  </si>
  <si>
    <t>2.1-5-3</t>
  </si>
  <si>
    <t>ТСН-2001.2. Доп. 1-42, п. 1-5-3 (050103)</t>
  </si>
  <si>
    <t>Катки самоходные вибрационные, масса более 8 т</t>
  </si>
  <si>
    <t>1.1-1-46</t>
  </si>
  <si>
    <t>ТСН-2001.1. Доп. 1-42. Р. 1, о. 1, поз. 46</t>
  </si>
  <si>
    <t>Битумы нефтяные, дорожные жидкие, марка МГ, СГ</t>
  </si>
  <si>
    <t>2.1-17-82</t>
  </si>
  <si>
    <t>ТСН-2001.2. Доп. 1-42, п. 1-17-82 (177201)</t>
  </si>
  <si>
    <t>Виброплиты для уплотнения песка, гравия и бетона</t>
  </si>
  <si>
    <t>2.1-18-7</t>
  </si>
  <si>
    <t>ТСН-2001.2. Доп. 47. п.1-18-7 (183001)</t>
  </si>
  <si>
    <t>Автомобили грузовые бортовые, грузоподъемность до 5 т</t>
  </si>
  <si>
    <t>2.1-30-27</t>
  </si>
  <si>
    <t>ТСН-2001.2. Доп. 1-42, п. 1-30-27 (306101)</t>
  </si>
  <si>
    <t>Пилы дисковые электрические для резки пиломатериалов</t>
  </si>
  <si>
    <t>2.1-3-38</t>
  </si>
  <si>
    <t>ТСН-2001.2. Доп. 53. п.1-3-38 (032009)</t>
  </si>
  <si>
    <t>Краны на автомобильном ходу, грузоподъемность до 16 т</t>
  </si>
  <si>
    <t>9999990007</t>
  </si>
  <si>
    <t>Стоимость прочих машин (ЭСН)</t>
  </si>
  <si>
    <t>руб.</t>
  </si>
  <si>
    <t>2.1-4-12</t>
  </si>
  <si>
    <t>ТСН-2001.2. Доп. 1-42, п. 1-4-12 (040205)</t>
  </si>
  <si>
    <t>Погрузчики на автомобильном ходу, грузоподъемность до 5 т</t>
  </si>
  <si>
    <t>1.1-1-132</t>
  </si>
  <si>
    <t>ТСН-2001.1. Доп. 1-42. Р. 1, о. 1, поз. 132</t>
  </si>
  <si>
    <t>Гвозди строительные</t>
  </si>
  <si>
    <t>1.1-1-230</t>
  </si>
  <si>
    <t>ТСН-2001.1. Доп. 1-42. Р. 1, о. 1, поз. 230</t>
  </si>
  <si>
    <t>Доски хвойных пород, обрезные, длина 2-6,5 м, сорт IV, толщина 19-22 мм</t>
  </si>
  <si>
    <t>1.3-1-38</t>
  </si>
  <si>
    <t>ТСН-2001.1. Доп. 1-42. Р. 3, о. 1, поз. 38</t>
  </si>
  <si>
    <t>Смеси бетонные, БСГ, тяжелого бетона на гранитном щебне, класс прочности В15 (М200); П3, фракция 5-20, F50-100, W0-2</t>
  </si>
  <si>
    <t>1.3-2-5</t>
  </si>
  <si>
    <t>ТСН-2001.1. Доп. 1-42. Р. 3, о. 2, поз. 5</t>
  </si>
  <si>
    <t>Растворы цементные, марка 100</t>
  </si>
  <si>
    <t>5711400000</t>
  </si>
  <si>
    <t>Песок природный для строительных работ</t>
  </si>
  <si>
    <t>5711100000</t>
  </si>
  <si>
    <t>Щебень для дорожных работ</t>
  </si>
  <si>
    <t>5718400000</t>
  </si>
  <si>
    <t>Смеси асфальтобетонные</t>
  </si>
  <si>
    <t>3971790000</t>
  </si>
  <si>
    <t>Диски отрезные</t>
  </si>
  <si>
    <t>5745110000</t>
  </si>
  <si>
    <t>Смеси сухие цементно-песчаные</t>
  </si>
  <si>
    <t>5846302000</t>
  </si>
  <si>
    <t>Брусчатка бетонная, марка ПБ</t>
  </si>
  <si>
    <t>5898320000</t>
  </si>
  <si>
    <t>Камни бетонные бортовые садовые и газонные</t>
  </si>
  <si>
    <t>"СОГЛАСОВАНО"</t>
  </si>
  <si>
    <t>"УТВЕРЖДАЮ"</t>
  </si>
  <si>
    <t>Форма № 1б</t>
  </si>
  <si>
    <t>"_____"________________ 2021 г.</t>
  </si>
  <si>
    <t>(наименование стройки)</t>
  </si>
  <si>
    <t>(локальный сметный расчет)</t>
  </si>
  <si>
    <t>(наименование работ и затрат, наименование объекта)</t>
  </si>
  <si>
    <t>базовая    цена</t>
  </si>
  <si>
    <t>текущая   цена</t>
  </si>
  <si>
    <t>Сметная стоимость</t>
  </si>
  <si>
    <t>Монтажные работы</t>
  </si>
  <si>
    <t>Оборудование</t>
  </si>
  <si>
    <t>Прочие работы</t>
  </si>
  <si>
    <t>Средства на оплату труда</t>
  </si>
  <si>
    <t xml:space="preserve">Кроме того: </t>
  </si>
  <si>
    <t>№№ п/п</t>
  </si>
  <si>
    <t>Шифр расценки и коды ресурсов</t>
  </si>
  <si>
    <t>Наименование работ и затрат</t>
  </si>
  <si>
    <t>Единица измерения</t>
  </si>
  <si>
    <t>Кол-во единиц</t>
  </si>
  <si>
    <t>Цена на ед. изм. руб.</t>
  </si>
  <si>
    <t>Попра-вочные коэфф.</t>
  </si>
  <si>
    <t>Коэфф. зимних удоро-жаний</t>
  </si>
  <si>
    <t>ВСЕГО в базисном уровне цен, руб.</t>
  </si>
  <si>
    <t>Коэфф. пересчета и нормы НР и СП</t>
  </si>
  <si>
    <t>Всего в текущем уровне цен, руб.</t>
  </si>
  <si>
    <t>Составлен(а) в уровне текущих (прогнозных) цен Коэффициенты к ТСН-2001 МГЭ</t>
  </si>
  <si>
    <t>ЗП</t>
  </si>
  <si>
    <t>ЭМ</t>
  </si>
  <si>
    <t>в т.ч. ЗПМ</t>
  </si>
  <si>
    <t>НР от ЗП</t>
  </si>
  <si>
    <t>%</t>
  </si>
  <si>
    <t>СП от ЗП</t>
  </si>
  <si>
    <t>НР и СП от ЗПМ</t>
  </si>
  <si>
    <t>ЗТР</t>
  </si>
  <si>
    <t>чел-ч</t>
  </si>
  <si>
    <t>МР</t>
  </si>
  <si>
    <t xml:space="preserve">   Итого по ТСН-2001.16</t>
  </si>
  <si>
    <t xml:space="preserve">   Итого возвратных сумм</t>
  </si>
  <si>
    <t xml:space="preserve">  тыс.руб</t>
  </si>
  <si>
    <t xml:space="preserve">Составил   </t>
  </si>
  <si>
    <t>[должность,подпись(инициалы,фамилия)]</t>
  </si>
  <si>
    <t xml:space="preserve">Проверил   </t>
  </si>
  <si>
    <t>№ п/п</t>
  </si>
  <si>
    <t>Количество</t>
  </si>
  <si>
    <t>Примечание</t>
  </si>
  <si>
    <t>Заказчик _________________</t>
  </si>
  <si>
    <t>Подрядчик _________________</t>
  </si>
  <si>
    <t>Форма 3</t>
  </si>
  <si>
    <t>(Наименование стройки)</t>
  </si>
  <si>
    <t>ОБЪЕКТНЫЙ СМЕТНЫЙ РАСЧЕТ №</t>
  </si>
  <si>
    <t>(объектная смета)</t>
  </si>
  <si>
    <t>на строительство (капитальный ремонт)</t>
  </si>
  <si>
    <t xml:space="preserve">  тыс.руб.</t>
  </si>
  <si>
    <t xml:space="preserve">Средства на оплату труда  </t>
  </si>
  <si>
    <t xml:space="preserve">Расчетный измеритель единичной стоимости  </t>
  </si>
  <si>
    <t>Номера сметных расчетов (смет)</t>
  </si>
  <si>
    <t>Показатели единичной стоимости</t>
  </si>
  <si>
    <t>строите-льных работ</t>
  </si>
  <si>
    <t>монтажных работ</t>
  </si>
  <si>
    <t>оборудо-вания, мебели, инвентаря</t>
  </si>
  <si>
    <t>прочих затрат</t>
  </si>
  <si>
    <t>Сметная стоимость, тыс.руб.</t>
  </si>
  <si>
    <t>Средства на оплату труда, тыс. руб.</t>
  </si>
  <si>
    <t xml:space="preserve">ИТОГО: </t>
  </si>
  <si>
    <t>Главный инженер проекта</t>
  </si>
  <si>
    <t>[подпись(инициалы,фамилия)]</t>
  </si>
  <si>
    <t xml:space="preserve">Начальник  </t>
  </si>
  <si>
    <t>отдела</t>
  </si>
  <si>
    <t xml:space="preserve">   (наименование)</t>
  </si>
  <si>
    <t xml:space="preserve">Составил  </t>
  </si>
  <si>
    <t xml:space="preserve">Проверил:  </t>
  </si>
  <si>
    <t>TYPE</t>
  </si>
  <si>
    <t>SOURCE_LINK</t>
  </si>
  <si>
    <t>RABMAT_EX</t>
  </si>
  <si>
    <t>TIP_RAB</t>
  </si>
  <si>
    <t>TYPE_TRUD</t>
  </si>
  <si>
    <t>TAB</t>
  </si>
  <si>
    <t>NAME</t>
  </si>
  <si>
    <t>EDIZM</t>
  </si>
  <si>
    <t>KOLL</t>
  </si>
  <si>
    <t>UCH</t>
  </si>
  <si>
    <t>PRICE_B</t>
  </si>
  <si>
    <t>PRICE_ED</t>
  </si>
  <si>
    <t>STOIM_B</t>
  </si>
  <si>
    <t>PRICE_C</t>
  </si>
  <si>
    <t>STOIM_C</t>
  </si>
  <si>
    <t>ZPM_B</t>
  </si>
  <si>
    <t>ZPM_ED</t>
  </si>
  <si>
    <t>STOIM_ZPM_B</t>
  </si>
  <si>
    <t>ZPM_C</t>
  </si>
  <si>
    <t>STOIM_ZPM_C</t>
  </si>
  <si>
    <t>CRC_GR_RES</t>
  </si>
  <si>
    <t>CRC_B</t>
  </si>
  <si>
    <t>CRC_C</t>
  </si>
  <si>
    <t>BuildingFinished</t>
  </si>
  <si>
    <t>Trud</t>
  </si>
  <si>
    <t>Mash</t>
  </si>
  <si>
    <t>Mat</t>
  </si>
  <si>
    <t>MatZak</t>
  </si>
  <si>
    <t>Oborud</t>
  </si>
  <si>
    <t>OborudZak</t>
  </si>
  <si>
    <t>ZeroStoim</t>
  </si>
  <si>
    <t>NegativeKoll</t>
  </si>
  <si>
    <t>ReUnionKollResurcy</t>
  </si>
  <si>
    <t>UnionOneUchRes</t>
  </si>
  <si>
    <t>Ресурсная ведомость на</t>
  </si>
  <si>
    <t>Обоснование</t>
  </si>
  <si>
    <t>Наименование</t>
  </si>
  <si>
    <t>Объем</t>
  </si>
  <si>
    <t>Текущая</t>
  </si>
  <si>
    <t>цена</t>
  </si>
  <si>
    <t>стоимость</t>
  </si>
  <si>
    <t>Машины и механизмы (учтенные)</t>
  </si>
  <si>
    <t xml:space="preserve">Итого машины и механизмы </t>
  </si>
  <si>
    <t>Материальные ресурсы (учтенные)</t>
  </si>
  <si>
    <t xml:space="preserve">Итого материальные ресурсы </t>
  </si>
  <si>
    <t>Основание под покрытия для корта</t>
  </si>
  <si>
    <t>Локальная смета №2</t>
  </si>
  <si>
    <t>Составлен(а) в уровне текущих (прогнозных) цен Коэффициенты к ТСН-2001 МГЭ январь 2021 года</t>
  </si>
</sst>
</file>

<file path=xl/styles.xml><?xml version="1.0" encoding="utf-8"?>
<styleSheet xmlns="http://schemas.openxmlformats.org/spreadsheetml/2006/main">
  <numFmts count="2">
    <numFmt numFmtId="164" formatCode="#,##0.00;[Red]\-\ #,##0.00"/>
    <numFmt numFmtId="165" formatCode="#,##0.00####;[Red]\-\ #,##0.00####"/>
  </numFmts>
  <fonts count="20">
    <font>
      <sz val="10"/>
      <name val="Arial"/>
      <charset val="204"/>
    </font>
    <font>
      <b/>
      <sz val="10"/>
      <color indexed="12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3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164" fontId="11" fillId="0" borderId="0" xfId="0" applyNumberFormat="1" applyFont="1"/>
    <xf numFmtId="0" fontId="11" fillId="0" borderId="0" xfId="0" applyFont="1" applyFill="1" applyAlignment="1">
      <alignment horizontal="left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17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165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9" fillId="0" borderId="0" xfId="0" applyFont="1" applyAlignment="1">
      <alignment wrapText="1"/>
    </xf>
    <xf numFmtId="164" fontId="17" fillId="0" borderId="0" xfId="0" applyNumberFormat="1" applyFont="1" applyAlignment="1">
      <alignment horizontal="right"/>
    </xf>
    <xf numFmtId="164" fontId="0" fillId="0" borderId="0" xfId="0" applyNumberFormat="1"/>
    <xf numFmtId="0" fontId="0" fillId="0" borderId="5" xfId="0" applyBorder="1"/>
    <xf numFmtId="0" fontId="11" fillId="0" borderId="0" xfId="0" quotePrefix="1" applyFont="1" applyAlignment="1">
      <alignment horizontal="right" wrapText="1"/>
    </xf>
    <xf numFmtId="0" fontId="18" fillId="0" borderId="0" xfId="0" applyFont="1"/>
    <xf numFmtId="0" fontId="11" fillId="0" borderId="1" xfId="0" applyFont="1" applyBorder="1"/>
    <xf numFmtId="0" fontId="11" fillId="0" borderId="4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right" wrapText="1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wrapText="1"/>
    </xf>
    <xf numFmtId="0" fontId="11" fillId="0" borderId="4" xfId="0" applyFont="1" applyBorder="1" applyAlignment="1">
      <alignment horizontal="right" wrapText="1"/>
    </xf>
    <xf numFmtId="0" fontId="11" fillId="0" borderId="4" xfId="0" applyFont="1" applyBorder="1" applyAlignment="1">
      <alignment horizontal="right"/>
    </xf>
    <xf numFmtId="0" fontId="18" fillId="0" borderId="0" xfId="0" applyFont="1" applyAlignment="1"/>
    <xf numFmtId="0" fontId="19" fillId="0" borderId="0" xfId="0" applyFont="1" applyAlignment="1">
      <alignment horizontal="right"/>
    </xf>
    <xf numFmtId="1" fontId="11" fillId="0" borderId="0" xfId="0" applyNumberFormat="1" applyFont="1"/>
    <xf numFmtId="0" fontId="11" fillId="0" borderId="0" xfId="0" applyFont="1" applyBorder="1" applyAlignment="1">
      <alignment vertical="center" wrapText="1"/>
    </xf>
    <xf numFmtId="1" fontId="18" fillId="0" borderId="0" xfId="0" applyNumberFormat="1" applyFont="1" applyAlignment="1">
      <alignment vertical="center" wrapText="1"/>
    </xf>
    <xf numFmtId="0" fontId="11" fillId="0" borderId="0" xfId="0" applyFont="1" applyBorder="1" applyAlignment="1"/>
    <xf numFmtId="0" fontId="11" fillId="0" borderId="0" xfId="0" applyFont="1" applyAlignment="1">
      <alignment horizontal="left" vertical="center"/>
    </xf>
    <xf numFmtId="164" fontId="11" fillId="0" borderId="0" xfId="0" applyNumberFormat="1" applyFont="1" applyBorder="1" applyAlignment="1"/>
    <xf numFmtId="1" fontId="11" fillId="0" borderId="0" xfId="0" applyNumberFormat="1" applyFont="1" applyAlignment="1">
      <alignment horizontal="left"/>
    </xf>
    <xf numFmtId="0" fontId="11" fillId="0" borderId="0" xfId="0" applyFont="1" applyAlignment="1">
      <alignment horizontal="right" vertical="center"/>
    </xf>
    <xf numFmtId="0" fontId="11" fillId="0" borderId="0" xfId="0" applyFont="1" applyBorder="1"/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right" wrapText="1"/>
    </xf>
    <xf numFmtId="164" fontId="11" fillId="0" borderId="2" xfId="0" applyNumberFormat="1" applyFont="1" applyBorder="1" applyAlignment="1">
      <alignment horizontal="right" wrapText="1"/>
    </xf>
    <xf numFmtId="1" fontId="11" fillId="0" borderId="4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right" wrapText="1"/>
    </xf>
    <xf numFmtId="164" fontId="11" fillId="0" borderId="9" xfId="0" applyNumberFormat="1" applyFont="1" applyBorder="1" applyAlignment="1">
      <alignment horizontal="right" wrapText="1"/>
    </xf>
    <xf numFmtId="164" fontId="11" fillId="0" borderId="3" xfId="0" applyNumberFormat="1" applyFont="1" applyBorder="1" applyAlignment="1">
      <alignment horizontal="right" wrapText="1"/>
    </xf>
    <xf numFmtId="0" fontId="11" fillId="0" borderId="4" xfId="0" applyFont="1" applyBorder="1" applyAlignment="1">
      <alignment horizontal="center" wrapText="1"/>
    </xf>
    <xf numFmtId="164" fontId="11" fillId="0" borderId="4" xfId="0" applyNumberFormat="1" applyFont="1" applyBorder="1" applyAlignment="1">
      <alignment horizontal="right" wrapText="1"/>
    </xf>
    <xf numFmtId="0" fontId="18" fillId="0" borderId="3" xfId="0" applyFont="1" applyBorder="1" applyAlignment="1">
      <alignment horizontal="center" wrapText="1"/>
    </xf>
    <xf numFmtId="0" fontId="18" fillId="0" borderId="3" xfId="0" applyFont="1" applyBorder="1" applyAlignment="1">
      <alignment horizontal="left" wrapText="1"/>
    </xf>
    <xf numFmtId="164" fontId="18" fillId="0" borderId="3" xfId="0" applyNumberFormat="1" applyFont="1" applyBorder="1" applyAlignment="1">
      <alignment horizontal="right" wrapText="1"/>
    </xf>
    <xf numFmtId="164" fontId="11" fillId="0" borderId="11" xfId="0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1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3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 wrapText="1"/>
    </xf>
    <xf numFmtId="164" fontId="18" fillId="0" borderId="5" xfId="0" applyNumberFormat="1" applyFont="1" applyBorder="1" applyAlignment="1">
      <alignment horizontal="right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1" fillId="0" borderId="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/>
    <xf numFmtId="0" fontId="11" fillId="0" borderId="0" xfId="0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2" fillId="0" borderId="3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1" fillId="0" borderId="6" xfId="0" applyFont="1" applyBorder="1" applyAlignment="1">
      <alignment horizontal="left" wrapText="1"/>
    </xf>
    <xf numFmtId="164" fontId="11" fillId="0" borderId="2" xfId="0" applyNumberFormat="1" applyFont="1" applyBorder="1" applyAlignment="1">
      <alignment horizontal="right" wrapText="1"/>
    </xf>
    <xf numFmtId="0" fontId="11" fillId="0" borderId="7" xfId="0" applyFont="1" applyBorder="1" applyAlignment="1">
      <alignment horizontal="left" wrapText="1"/>
    </xf>
    <xf numFmtId="164" fontId="11" fillId="0" borderId="8" xfId="0" applyNumberFormat="1" applyFont="1" applyBorder="1" applyAlignment="1">
      <alignment horizontal="right" wrapText="1"/>
    </xf>
    <xf numFmtId="1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0" fillId="0" borderId="0" xfId="0" applyFont="1"/>
    <xf numFmtId="0" fontId="13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right"/>
    </xf>
    <xf numFmtId="164" fontId="18" fillId="0" borderId="3" xfId="0" applyNumberFormat="1" applyFont="1" applyBorder="1" applyAlignment="1">
      <alignment horizontal="right"/>
    </xf>
    <xf numFmtId="0" fontId="12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86;&#1087;&#1089;&#1082;&#1080;&#1081;%202019/&#1042;%20&#1056;&#1040;&#1041;&#1054;&#1058;&#1045;%202021/&#1058;&#1072;&#1075;&#1072;&#1085;&#1082;&#1072;/&#1050;&#1086;&#1088;&#1090;_&#1058;&#1072;&#1075;&#1072;&#1085;&#1082;&#1072;/1.%20&#1058;&#1072;&#1075;&#1072;&#1085;&#1082;&#1072;%20&#1050;&#1086;&#1088;&#1090;%20&#1055;&#1086;&#1082;&#1088;&#1099;&#1090;&#1080;&#1077;,%20&#1087;&#1083;&#1080;&#1090;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по ТСН-2001"/>
      <sheetName val="Ведомость объемов работ"/>
      <sheetName val="RV_DATA"/>
      <sheetName val="Расчет стоимости ресурсов"/>
      <sheetName val="Source"/>
      <sheetName val="SourceObSm"/>
      <sheetName val="SmtRes"/>
      <sheetName val="EtalonRes"/>
    </sheetNames>
    <sheetDataSet>
      <sheetData sheetId="0"/>
      <sheetData sheetId="1"/>
      <sheetData sheetId="2"/>
      <sheetData sheetId="3"/>
      <sheetData sheetId="4">
        <row r="20">
          <cell r="G20" t="str">
            <v>Новая локальная смета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5"/>
  <sheetViews>
    <sheetView tabSelected="1" view="pageBreakPreview" topLeftCell="A9" zoomScale="92" zoomScaleSheetLayoutView="92" workbookViewId="0">
      <selection activeCell="I36" sqref="I36"/>
    </sheetView>
  </sheetViews>
  <sheetFormatPr defaultRowHeight="13.2"/>
  <cols>
    <col min="1" max="1" width="5.77734375" customWidth="1"/>
    <col min="2" max="2" width="11.77734375" customWidth="1"/>
    <col min="3" max="3" width="40.77734375" customWidth="1"/>
    <col min="4" max="6" width="11.77734375" customWidth="1"/>
    <col min="7" max="7" width="12.77734375" customWidth="1"/>
    <col min="8" max="8" width="10.77734375" customWidth="1"/>
    <col min="9" max="11" width="12.77734375" customWidth="1"/>
    <col min="15" max="42" width="0" hidden="1" customWidth="1"/>
  </cols>
  <sheetData>
    <row r="1" spans="1:11">
      <c r="A1" s="9" t="str">
        <f>Source!B1</f>
        <v>Smeta.RU  (495) 974-1589</v>
      </c>
    </row>
    <row r="2" spans="1:11" ht="13.8">
      <c r="A2" s="10"/>
      <c r="B2" s="10"/>
      <c r="C2" s="10"/>
      <c r="D2" s="10"/>
      <c r="E2" s="10"/>
      <c r="F2" s="10"/>
      <c r="G2" s="10"/>
      <c r="H2" s="10"/>
      <c r="I2" s="10"/>
      <c r="J2" s="10"/>
      <c r="K2" s="11" t="s">
        <v>257</v>
      </c>
    </row>
    <row r="3" spans="1:11" ht="16.8">
      <c r="A3" s="12"/>
      <c r="B3" s="98" t="s">
        <v>255</v>
      </c>
      <c r="C3" s="98"/>
      <c r="D3" s="98"/>
      <c r="E3" s="98"/>
      <c r="F3" s="11"/>
      <c r="G3" s="98" t="s">
        <v>256</v>
      </c>
      <c r="H3" s="98"/>
      <c r="I3" s="98"/>
      <c r="J3" s="98"/>
      <c r="K3" s="98"/>
    </row>
    <row r="4" spans="1:11" ht="13.8">
      <c r="A4" s="11"/>
      <c r="B4" s="87"/>
      <c r="C4" s="87"/>
      <c r="D4" s="87"/>
      <c r="E4" s="87"/>
      <c r="F4" s="11"/>
      <c r="G4" s="87"/>
      <c r="H4" s="87"/>
      <c r="I4" s="87"/>
      <c r="J4" s="87"/>
      <c r="K4" s="87"/>
    </row>
    <row r="5" spans="1:11" ht="13.8">
      <c r="A5" s="13"/>
      <c r="B5" s="13"/>
      <c r="C5" s="14"/>
      <c r="D5" s="14"/>
      <c r="E5" s="14"/>
      <c r="F5" s="11"/>
      <c r="G5" s="15"/>
      <c r="H5" s="14"/>
      <c r="I5" s="14"/>
      <c r="J5" s="14"/>
      <c r="K5" s="15"/>
    </row>
    <row r="6" spans="1:11" ht="13.8">
      <c r="A6" s="15"/>
      <c r="B6" s="87" t="str">
        <f>CONCATENATE("______________________ ", IF(Source!AL12&lt;&gt;"", Source!AL12, ""))</f>
        <v xml:space="preserve">______________________ </v>
      </c>
      <c r="C6" s="87"/>
      <c r="D6" s="87"/>
      <c r="E6" s="87"/>
      <c r="F6" s="11"/>
      <c r="G6" s="87" t="str">
        <f>CONCATENATE("______________________ ", IF(Source!AH12&lt;&gt;"", Source!AH12, ""))</f>
        <v xml:space="preserve">______________________ </v>
      </c>
      <c r="H6" s="87"/>
      <c r="I6" s="87"/>
      <c r="J6" s="87"/>
      <c r="K6" s="87"/>
    </row>
    <row r="7" spans="1:11" ht="13.8">
      <c r="A7" s="16"/>
      <c r="B7" s="95" t="s">
        <v>258</v>
      </c>
      <c r="C7" s="95"/>
      <c r="D7" s="95"/>
      <c r="E7" s="95"/>
      <c r="F7" s="11"/>
      <c r="G7" s="95" t="s">
        <v>258</v>
      </c>
      <c r="H7" s="95"/>
      <c r="I7" s="95"/>
      <c r="J7" s="95"/>
      <c r="K7" s="95"/>
    </row>
    <row r="9" spans="1:11" ht="13.8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5.6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</row>
    <row r="11" spans="1:11">
      <c r="A11" s="79" t="s">
        <v>259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1" ht="13.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5.6" customHeight="1">
      <c r="A13" s="96" t="s">
        <v>373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</row>
    <row r="14" spans="1:11" ht="13.2" customHeight="1">
      <c r="A14" s="93" t="s">
        <v>260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1:11" ht="13.8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7.399999999999999" hidden="1" customHeight="1">
      <c r="A16" s="91" t="str">
        <f>IF([1]Source!G20&lt;&gt;"Новая локальная смета", [1]Source!G20, "")</f>
        <v/>
      </c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1:11" ht="13.8" hidden="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7.399999999999999" customHeight="1">
      <c r="A18" s="92" t="s">
        <v>372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</row>
    <row r="19" spans="1:11" ht="13.2" customHeight="1">
      <c r="A19" s="93" t="s">
        <v>261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</row>
    <row r="20" spans="1:11" ht="13.8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3.8">
      <c r="A21" s="80" t="str">
        <f>CONCATENATE( "Основание: чертежи № ", Source!J20)</f>
        <v xml:space="preserve">Основание: чертежи № 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</row>
    <row r="22" spans="1:11" ht="27.6">
      <c r="A22" s="11"/>
      <c r="B22" s="11"/>
      <c r="C22" s="11"/>
      <c r="D22" s="11"/>
      <c r="E22" s="11"/>
      <c r="F22" s="11"/>
      <c r="G22" s="11"/>
      <c r="H22" s="11"/>
      <c r="I22" s="17" t="s">
        <v>262</v>
      </c>
      <c r="J22" s="17" t="s">
        <v>263</v>
      </c>
      <c r="K22" s="11"/>
    </row>
    <row r="23" spans="1:11" ht="13.8">
      <c r="A23" s="11"/>
      <c r="B23" s="11"/>
      <c r="C23" s="11"/>
      <c r="D23" s="11"/>
      <c r="E23" s="11"/>
      <c r="F23" s="87" t="s">
        <v>264</v>
      </c>
      <c r="G23" s="87"/>
      <c r="H23" s="87"/>
      <c r="I23" s="18">
        <f>SUM(O34:O214)/1000</f>
        <v>92.33129000000001</v>
      </c>
      <c r="J23" s="18">
        <f>(Source!F216/1000)</f>
        <v>867.87956999999994</v>
      </c>
      <c r="K23" s="11" t="s">
        <v>294</v>
      </c>
    </row>
    <row r="24" spans="1:11" ht="13.8">
      <c r="A24" s="11"/>
      <c r="B24" s="11"/>
      <c r="C24" s="11"/>
      <c r="D24" s="11"/>
      <c r="E24" s="11"/>
      <c r="F24" s="87" t="s">
        <v>20</v>
      </c>
      <c r="G24" s="87"/>
      <c r="H24" s="87"/>
      <c r="I24" s="18">
        <f>SUM(X34:X214)/1000</f>
        <v>92.33129000000001</v>
      </c>
      <c r="J24" s="18">
        <f>(Source!F205)/1000</f>
        <v>867.87956999999994</v>
      </c>
      <c r="K24" s="11" t="s">
        <v>294</v>
      </c>
    </row>
    <row r="25" spans="1:11" ht="13.8">
      <c r="A25" s="11"/>
      <c r="B25" s="11"/>
      <c r="C25" s="11"/>
      <c r="D25" s="11"/>
      <c r="E25" s="11"/>
      <c r="F25" s="87" t="s">
        <v>265</v>
      </c>
      <c r="G25" s="87"/>
      <c r="H25" s="87"/>
      <c r="I25" s="18">
        <f>SUM(Y34:Y214)/1000</f>
        <v>0</v>
      </c>
      <c r="J25" s="18">
        <f>(Source!F206)/1000</f>
        <v>0</v>
      </c>
      <c r="K25" s="11" t="s">
        <v>294</v>
      </c>
    </row>
    <row r="26" spans="1:11" ht="13.8">
      <c r="A26" s="11"/>
      <c r="B26" s="11"/>
      <c r="C26" s="11"/>
      <c r="D26" s="11"/>
      <c r="E26" s="11"/>
      <c r="F26" s="87" t="s">
        <v>266</v>
      </c>
      <c r="G26" s="87"/>
      <c r="H26" s="87"/>
      <c r="I26" s="18">
        <f>SUM(Z34:Z214)/1000</f>
        <v>0</v>
      </c>
      <c r="J26" s="18">
        <f>(Source!F197)/1000</f>
        <v>0</v>
      </c>
      <c r="K26" s="11" t="s">
        <v>294</v>
      </c>
    </row>
    <row r="27" spans="1:11" ht="13.8">
      <c r="A27" s="11"/>
      <c r="B27" s="11"/>
      <c r="C27" s="11"/>
      <c r="D27" s="11"/>
      <c r="E27" s="11"/>
      <c r="F27" s="87" t="s">
        <v>267</v>
      </c>
      <c r="G27" s="87"/>
      <c r="H27" s="87"/>
      <c r="I27" s="18">
        <f>SUM(AA34:AA214)/1000</f>
        <v>0</v>
      </c>
      <c r="J27" s="18">
        <f>(Source!F207+Source!F208)/1000</f>
        <v>0</v>
      </c>
      <c r="K27" s="11" t="s">
        <v>294</v>
      </c>
    </row>
    <row r="28" spans="1:11" ht="13.8">
      <c r="A28" s="11"/>
      <c r="B28" s="11"/>
      <c r="C28" s="11"/>
      <c r="D28" s="11"/>
      <c r="E28" s="11"/>
      <c r="F28" s="87" t="s">
        <v>268</v>
      </c>
      <c r="G28" s="87"/>
      <c r="H28" s="87"/>
      <c r="I28" s="18">
        <f>SUM(W34:W214)/1000</f>
        <v>4.5259000000000009</v>
      </c>
      <c r="J28" s="18">
        <f>(Source!F203+ Source!F202)/1000</f>
        <v>112.33285000000001</v>
      </c>
      <c r="K28" s="11" t="s">
        <v>294</v>
      </c>
    </row>
    <row r="29" spans="1:11" ht="13.8" hidden="1">
      <c r="A29" s="11"/>
      <c r="B29" s="11"/>
      <c r="C29" s="11"/>
      <c r="D29" s="11"/>
      <c r="E29" s="11"/>
      <c r="F29" s="19" t="s">
        <v>269</v>
      </c>
      <c r="G29" s="19"/>
      <c r="H29" s="19"/>
      <c r="I29" s="18"/>
      <c r="J29" s="18"/>
      <c r="K29" s="11"/>
    </row>
    <row r="30" spans="1:11" ht="13.8" hidden="1">
      <c r="A30" s="11"/>
      <c r="B30" s="11"/>
      <c r="C30" s="11"/>
      <c r="D30" s="11"/>
      <c r="E30" s="11"/>
      <c r="F30" s="88" t="s">
        <v>108</v>
      </c>
      <c r="G30" s="89"/>
      <c r="H30" s="89"/>
      <c r="I30" s="18">
        <f>SUM(AE34:AE214)/1000</f>
        <v>0</v>
      </c>
      <c r="J30" s="18">
        <f>SUM(AF34:AF214)/1000</f>
        <v>0</v>
      </c>
      <c r="K30" s="11" t="s">
        <v>294</v>
      </c>
    </row>
    <row r="31" spans="1:11" ht="13.8">
      <c r="A31" s="90" t="s">
        <v>374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</row>
    <row r="32" spans="1:11" ht="55.2">
      <c r="A32" s="20" t="s">
        <v>270</v>
      </c>
      <c r="B32" s="20" t="s">
        <v>271</v>
      </c>
      <c r="C32" s="20" t="s">
        <v>272</v>
      </c>
      <c r="D32" s="20" t="s">
        <v>273</v>
      </c>
      <c r="E32" s="20" t="s">
        <v>274</v>
      </c>
      <c r="F32" s="20" t="s">
        <v>275</v>
      </c>
      <c r="G32" s="21" t="s">
        <v>276</v>
      </c>
      <c r="H32" s="21" t="s">
        <v>277</v>
      </c>
      <c r="I32" s="20" t="s">
        <v>278</v>
      </c>
      <c r="J32" s="20" t="s">
        <v>279</v>
      </c>
      <c r="K32" s="20" t="s">
        <v>280</v>
      </c>
    </row>
    <row r="33" spans="1:27" ht="13.8">
      <c r="A33" s="20">
        <v>1</v>
      </c>
      <c r="B33" s="20">
        <v>2</v>
      </c>
      <c r="C33" s="20">
        <v>3</v>
      </c>
      <c r="D33" s="20">
        <v>4</v>
      </c>
      <c r="E33" s="20">
        <v>5</v>
      </c>
      <c r="F33" s="20">
        <v>6</v>
      </c>
      <c r="G33" s="20">
        <v>7</v>
      </c>
      <c r="H33" s="20">
        <v>8</v>
      </c>
      <c r="I33" s="20">
        <v>9</v>
      </c>
      <c r="J33" s="20">
        <v>10</v>
      </c>
      <c r="K33" s="20">
        <v>11</v>
      </c>
    </row>
    <row r="35" spans="1:27" ht="16.8">
      <c r="A35" s="86" t="str">
        <f>CONCATENATE("Раздел: ",IF(Source!G24&lt;&gt;"Новый раздел", Source!G24, ""))</f>
        <v>Раздел: 10.1. Устройство новых оснований площадок (Корт)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1:27" ht="55.2">
      <c r="A36" s="22" t="str">
        <f>Source!E28</f>
        <v>1</v>
      </c>
      <c r="B36" s="23" t="str">
        <f>Source!F28</f>
        <v>3.1-6-10</v>
      </c>
      <c r="C36" s="23" t="s">
        <v>17</v>
      </c>
      <c r="D36" s="25" t="str">
        <f>Source!H28</f>
        <v>100 м3 грунта</v>
      </c>
      <c r="E36" s="10">
        <f>Source!I28</f>
        <v>2.1258720000000002</v>
      </c>
      <c r="F36" s="27"/>
      <c r="G36" s="26"/>
      <c r="H36" s="10"/>
      <c r="I36" s="28"/>
      <c r="J36" s="10"/>
      <c r="K36" s="28"/>
      <c r="Q36">
        <f>ROUND((Source!DN28/100)*ROUND((ROUND((Source!AF28*Source!AV28*Source!I28),2)),2), 2)</f>
        <v>29.37</v>
      </c>
      <c r="R36">
        <f>Source!X28</f>
        <v>684.35</v>
      </c>
      <c r="S36">
        <f>ROUND((Source!DO28/100)*ROUND((ROUND((Source!AF28*Source!AV28*Source!I28),2)),2), 2)</f>
        <v>23.08</v>
      </c>
      <c r="T36">
        <f>Source!Y28</f>
        <v>371.93</v>
      </c>
      <c r="U36">
        <f>ROUND((175/100)*ROUND((ROUND((Source!AE28*Source!AV28*Source!I28),2)),2), 2)</f>
        <v>522.62</v>
      </c>
      <c r="V36">
        <f>ROUND((157/100)*ROUND(ROUND((ROUND((Source!AE28*Source!AV28*Source!I28),2)*Source!BS28),2), 2), 2)</f>
        <v>11637.22</v>
      </c>
    </row>
    <row r="37" spans="1:27">
      <c r="C37" s="29" t="str">
        <f>"Объем: "&amp;Source!I28&amp;"=562,4/"&amp;"100*"&amp;"0,42*"&amp;"0,9"</f>
        <v>Объем: 2,125872=562,4/100*0,42*0,9</v>
      </c>
    </row>
    <row r="38" spans="1:27" ht="14.4">
      <c r="A38" s="22"/>
      <c r="B38" s="23"/>
      <c r="C38" s="23" t="s">
        <v>282</v>
      </c>
      <c r="D38" s="25"/>
      <c r="E38" s="10"/>
      <c r="F38" s="27">
        <f>Source!AO28</f>
        <v>14.1</v>
      </c>
      <c r="G38" s="26" t="str">
        <f>Source!DG28</f>
        <v/>
      </c>
      <c r="H38" s="10">
        <f>Source!AV28</f>
        <v>1</v>
      </c>
      <c r="I38" s="28">
        <f>ROUND((ROUND((Source!AF28*Source!AV28*Source!I28),2)),2)</f>
        <v>29.97</v>
      </c>
      <c r="J38" s="10">
        <f>IF(Source!BA28&lt;&gt; 0, Source!BA28, 1)</f>
        <v>24.82</v>
      </c>
      <c r="K38" s="28">
        <f>Source!S28</f>
        <v>743.86</v>
      </c>
      <c r="W38">
        <f>I38</f>
        <v>29.97</v>
      </c>
    </row>
    <row r="39" spans="1:27" ht="14.4">
      <c r="A39" s="22"/>
      <c r="B39" s="23"/>
      <c r="C39" s="23" t="s">
        <v>283</v>
      </c>
      <c r="D39" s="25"/>
      <c r="E39" s="10"/>
      <c r="F39" s="27">
        <f>Source!AM28</f>
        <v>757.55</v>
      </c>
      <c r="G39" s="26" t="str">
        <f>Source!DE28</f>
        <v/>
      </c>
      <c r="H39" s="10">
        <f>Source!AV28</f>
        <v>1</v>
      </c>
      <c r="I39" s="28">
        <f>(ROUND((ROUND(((Source!ET28)*Source!AV28*Source!I28),2)),2)+ROUND((ROUND(((Source!AE28-(Source!EU28))*Source!AV28*Source!I28),2)),2))</f>
        <v>1610.45</v>
      </c>
      <c r="J39" s="10">
        <f>IF(Source!BB28&lt;&gt; 0, Source!BB28, 1)</f>
        <v>9.7799999999999994</v>
      </c>
      <c r="K39" s="28">
        <f>Source!Q28</f>
        <v>15750.2</v>
      </c>
    </row>
    <row r="40" spans="1:27" ht="14.4">
      <c r="A40" s="22"/>
      <c r="B40" s="23"/>
      <c r="C40" s="23" t="s">
        <v>284</v>
      </c>
      <c r="D40" s="25"/>
      <c r="E40" s="10"/>
      <c r="F40" s="27">
        <f>Source!AN28</f>
        <v>140.47999999999999</v>
      </c>
      <c r="G40" s="26" t="str">
        <f>Source!DF28</f>
        <v/>
      </c>
      <c r="H40" s="10">
        <f>Source!AV28</f>
        <v>1</v>
      </c>
      <c r="I40" s="30">
        <f>ROUND((ROUND((Source!AE28*Source!AV28*Source!I28),2)),2)</f>
        <v>298.64</v>
      </c>
      <c r="J40" s="10">
        <f>IF(Source!BS28&lt;&gt; 0, Source!BS28, 1)</f>
        <v>24.82</v>
      </c>
      <c r="K40" s="30">
        <f>Source!R28</f>
        <v>7412.24</v>
      </c>
      <c r="W40">
        <f>I40</f>
        <v>298.64</v>
      </c>
    </row>
    <row r="41" spans="1:27" ht="14.4">
      <c r="A41" s="22"/>
      <c r="B41" s="23"/>
      <c r="C41" s="23" t="s">
        <v>285</v>
      </c>
      <c r="D41" s="25" t="s">
        <v>286</v>
      </c>
      <c r="E41" s="10">
        <f>Source!DN28</f>
        <v>98</v>
      </c>
      <c r="F41" s="27"/>
      <c r="G41" s="26"/>
      <c r="H41" s="10"/>
      <c r="I41" s="28">
        <f>SUM(Q36:Q40)</f>
        <v>29.37</v>
      </c>
      <c r="J41" s="10">
        <f>Source!BZ28</f>
        <v>92</v>
      </c>
      <c r="K41" s="28">
        <f>SUM(R36:R40)</f>
        <v>684.35</v>
      </c>
    </row>
    <row r="42" spans="1:27" ht="14.4">
      <c r="A42" s="22"/>
      <c r="B42" s="23"/>
      <c r="C42" s="23" t="s">
        <v>287</v>
      </c>
      <c r="D42" s="25" t="s">
        <v>286</v>
      </c>
      <c r="E42" s="10">
        <f>Source!DO28</f>
        <v>77</v>
      </c>
      <c r="F42" s="27"/>
      <c r="G42" s="26"/>
      <c r="H42" s="10"/>
      <c r="I42" s="28">
        <f>SUM(S36:S41)</f>
        <v>23.08</v>
      </c>
      <c r="J42" s="10">
        <f>Source!CA28</f>
        <v>50</v>
      </c>
      <c r="K42" s="28">
        <f>SUM(T36:T41)</f>
        <v>371.93</v>
      </c>
    </row>
    <row r="43" spans="1:27" ht="14.4">
      <c r="A43" s="22"/>
      <c r="B43" s="23"/>
      <c r="C43" s="23" t="s">
        <v>288</v>
      </c>
      <c r="D43" s="25" t="s">
        <v>286</v>
      </c>
      <c r="E43" s="10">
        <f>175</f>
        <v>175</v>
      </c>
      <c r="F43" s="27"/>
      <c r="G43" s="26"/>
      <c r="H43" s="10"/>
      <c r="I43" s="28">
        <f>SUM(U36:U42)</f>
        <v>522.62</v>
      </c>
      <c r="J43" s="10">
        <f>157</f>
        <v>157</v>
      </c>
      <c r="K43" s="28">
        <f>SUM(V36:V42)</f>
        <v>11637.22</v>
      </c>
    </row>
    <row r="44" spans="1:27" ht="14.4">
      <c r="A44" s="22"/>
      <c r="B44" s="23"/>
      <c r="C44" s="23" t="s">
        <v>289</v>
      </c>
      <c r="D44" s="25" t="s">
        <v>290</v>
      </c>
      <c r="E44" s="10">
        <f>Source!AQ28</f>
        <v>1.38</v>
      </c>
      <c r="F44" s="27"/>
      <c r="G44" s="26" t="str">
        <f>Source!DI28</f>
        <v/>
      </c>
      <c r="H44" s="10">
        <f>Source!AV28</f>
        <v>1</v>
      </c>
      <c r="I44" s="28">
        <f>Source!U28</f>
        <v>2.93370336</v>
      </c>
      <c r="J44" s="10"/>
      <c r="K44" s="28"/>
    </row>
    <row r="45" spans="1:27" ht="13.8">
      <c r="A45" s="32"/>
      <c r="B45" s="32"/>
      <c r="C45" s="32"/>
      <c r="D45" s="32"/>
      <c r="E45" s="32"/>
      <c r="F45" s="32"/>
      <c r="G45" s="32"/>
      <c r="H45" s="85">
        <f>I38+I39+I41+I42+I43</f>
        <v>2215.4899999999998</v>
      </c>
      <c r="I45" s="85"/>
      <c r="J45" s="85">
        <f>K38+K39+K41+K42+K43</f>
        <v>29187.559999999998</v>
      </c>
      <c r="K45" s="85"/>
      <c r="O45" s="31">
        <f>I38+I39+I41+I42+I43</f>
        <v>2215.4899999999998</v>
      </c>
      <c r="P45" s="31">
        <f>K38+K39+K41+K42+K43</f>
        <v>29187.559999999998</v>
      </c>
      <c r="X45">
        <f>IF(Source!BI28&lt;=1,I38+I39+I41+I42+I43-0, 0)</f>
        <v>2215.4899999999998</v>
      </c>
      <c r="Y45">
        <f>IF(Source!BI28=2,I38+I39+I41+I42+I43-0, 0)</f>
        <v>0</v>
      </c>
      <c r="Z45">
        <f>IF(Source!BI28=3,I38+I39+I41+I42+I43-0, 0)</f>
        <v>0</v>
      </c>
      <c r="AA45">
        <f>IF(Source!BI28=4,I38+I39+I41+I42+I43,0)</f>
        <v>0</v>
      </c>
    </row>
    <row r="46" spans="1:27" ht="41.4">
      <c r="A46" s="22" t="str">
        <f>Source!E29</f>
        <v>2</v>
      </c>
      <c r="B46" s="23" t="str">
        <f>Source!F29</f>
        <v>3.1-51-1</v>
      </c>
      <c r="C46" s="23" t="s">
        <v>25</v>
      </c>
      <c r="D46" s="25" t="str">
        <f>Source!H29</f>
        <v>100 м3 грунта</v>
      </c>
      <c r="E46" s="10">
        <f>Source!I29</f>
        <v>0.236208</v>
      </c>
      <c r="F46" s="27"/>
      <c r="G46" s="26"/>
      <c r="H46" s="10"/>
      <c r="I46" s="28"/>
      <c r="J46" s="10"/>
      <c r="K46" s="28"/>
      <c r="Q46">
        <f>ROUND((Source!DN29/100)*ROUND((ROUND((Source!AF29*Source!AV29*Source!I29),2)),2), 2)</f>
        <v>506.6</v>
      </c>
      <c r="R46">
        <f>Source!X29</f>
        <v>10178.879999999999</v>
      </c>
      <c r="S46">
        <f>ROUND((Source!DO29/100)*ROUND((ROUND((Source!AF29*Source!AV29*Source!I29),2)),2), 2)</f>
        <v>371.51</v>
      </c>
      <c r="T46">
        <f>Source!Y29</f>
        <v>4909.8100000000004</v>
      </c>
      <c r="U46">
        <f>ROUND((175/100)*ROUND((ROUND((Source!AE29*Source!AV29*Source!I29),2)),2), 2)</f>
        <v>0</v>
      </c>
      <c r="V46">
        <f>ROUND((157/100)*ROUND(ROUND((ROUND((Source!AE29*Source!AV29*Source!I29),2)*Source!BS29),2), 2), 2)</f>
        <v>0</v>
      </c>
    </row>
    <row r="47" spans="1:27">
      <c r="C47" s="29" t="str">
        <f>"Объем: "&amp;Source!I29&amp;"=562,4/"&amp;"100*"&amp;"0,42*"&amp;"0,1"</f>
        <v>Объем: 0,236208=562,4/100*0,42*0,1</v>
      </c>
    </row>
    <row r="48" spans="1:27" ht="14.4">
      <c r="A48" s="22"/>
      <c r="B48" s="23"/>
      <c r="C48" s="23" t="s">
        <v>282</v>
      </c>
      <c r="D48" s="25"/>
      <c r="E48" s="10"/>
      <c r="F48" s="27">
        <f>Source!AO29</f>
        <v>2042.62</v>
      </c>
      <c r="G48" s="26" t="str">
        <f>Source!DG29</f>
        <v/>
      </c>
      <c r="H48" s="10">
        <f>Source!AV29</f>
        <v>1</v>
      </c>
      <c r="I48" s="28">
        <f>ROUND((ROUND((Source!AF29*Source!AV29*Source!I29),2)),2)</f>
        <v>482.48</v>
      </c>
      <c r="J48" s="10">
        <f>IF(Source!BA29&lt;&gt; 0, Source!BA29, 1)</f>
        <v>24.82</v>
      </c>
      <c r="K48" s="28">
        <f>Source!S29</f>
        <v>11975.15</v>
      </c>
      <c r="W48">
        <f>I48</f>
        <v>482.48</v>
      </c>
    </row>
    <row r="49" spans="1:27" ht="14.4">
      <c r="A49" s="22"/>
      <c r="B49" s="23"/>
      <c r="C49" s="23" t="s">
        <v>285</v>
      </c>
      <c r="D49" s="25" t="s">
        <v>286</v>
      </c>
      <c r="E49" s="10">
        <f>Source!DN29</f>
        <v>105</v>
      </c>
      <c r="F49" s="27"/>
      <c r="G49" s="26"/>
      <c r="H49" s="10"/>
      <c r="I49" s="28">
        <f>SUM(Q46:Q48)</f>
        <v>506.6</v>
      </c>
      <c r="J49" s="10">
        <f>Source!BZ29</f>
        <v>85</v>
      </c>
      <c r="K49" s="28">
        <f>SUM(R46:R48)</f>
        <v>10178.879999999999</v>
      </c>
    </row>
    <row r="50" spans="1:27" ht="14.4">
      <c r="A50" s="22"/>
      <c r="B50" s="23"/>
      <c r="C50" s="23" t="s">
        <v>287</v>
      </c>
      <c r="D50" s="25" t="s">
        <v>286</v>
      </c>
      <c r="E50" s="10">
        <f>Source!DO29</f>
        <v>77</v>
      </c>
      <c r="F50" s="27"/>
      <c r="G50" s="26"/>
      <c r="H50" s="10"/>
      <c r="I50" s="28">
        <f>SUM(S46:S49)</f>
        <v>371.51</v>
      </c>
      <c r="J50" s="10">
        <f>Source!CA29</f>
        <v>41</v>
      </c>
      <c r="K50" s="28">
        <f>SUM(T46:T49)</f>
        <v>4909.8100000000004</v>
      </c>
    </row>
    <row r="51" spans="1:27" ht="14.4">
      <c r="A51" s="22"/>
      <c r="B51" s="23"/>
      <c r="C51" s="23" t="s">
        <v>289</v>
      </c>
      <c r="D51" s="25" t="s">
        <v>290</v>
      </c>
      <c r="E51" s="10">
        <f>Source!AQ29</f>
        <v>192.7</v>
      </c>
      <c r="F51" s="27"/>
      <c r="G51" s="26" t="str">
        <f>Source!DI29</f>
        <v/>
      </c>
      <c r="H51" s="10">
        <f>Source!AV29</f>
        <v>1</v>
      </c>
      <c r="I51" s="28">
        <f>Source!U29</f>
        <v>45.517281599999997</v>
      </c>
      <c r="J51" s="10"/>
      <c r="K51" s="28"/>
    </row>
    <row r="52" spans="1:27" ht="13.8">
      <c r="A52" s="32"/>
      <c r="B52" s="32"/>
      <c r="C52" s="32"/>
      <c r="D52" s="32"/>
      <c r="E52" s="32"/>
      <c r="F52" s="32"/>
      <c r="G52" s="32"/>
      <c r="H52" s="85">
        <f>I48+I49+I50</f>
        <v>1360.5900000000001</v>
      </c>
      <c r="I52" s="85"/>
      <c r="J52" s="85">
        <f>K48+K49+K50</f>
        <v>27063.84</v>
      </c>
      <c r="K52" s="85"/>
      <c r="O52" s="31">
        <f>I48+I49+I50</f>
        <v>1360.5900000000001</v>
      </c>
      <c r="P52" s="31">
        <f>K48+K49+K50</f>
        <v>27063.84</v>
      </c>
      <c r="X52">
        <f>IF(Source!BI29&lt;=1,I48+I49+I50-0, 0)</f>
        <v>1360.5900000000001</v>
      </c>
      <c r="Y52">
        <f>IF(Source!BI29=2,I48+I49+I50-0, 0)</f>
        <v>0</v>
      </c>
      <c r="Z52">
        <f>IF(Source!BI29=3,I48+I49+I50-0, 0)</f>
        <v>0</v>
      </c>
      <c r="AA52">
        <f>IF(Source!BI29=4,I48+I49+I50,0)</f>
        <v>0</v>
      </c>
    </row>
    <row r="53" spans="1:27" ht="55.2">
      <c r="A53" s="22" t="str">
        <f>Source!E30</f>
        <v>3</v>
      </c>
      <c r="B53" s="23" t="str">
        <f>Source!F30</f>
        <v>3.1-6-10</v>
      </c>
      <c r="C53" s="23" t="s">
        <v>17</v>
      </c>
      <c r="D53" s="25" t="str">
        <f>Source!H30</f>
        <v>100 м3 грунта</v>
      </c>
      <c r="E53" s="10">
        <f>Source!I30</f>
        <v>1.9132848</v>
      </c>
      <c r="F53" s="27"/>
      <c r="G53" s="26"/>
      <c r="H53" s="10"/>
      <c r="I53" s="28"/>
      <c r="J53" s="10"/>
      <c r="K53" s="28"/>
      <c r="Q53">
        <f>ROUND((Source!DN30/100)*ROUND((ROUND((Source!AF30*Source!AV30*Source!I30),2)),2), 2)</f>
        <v>26.44</v>
      </c>
      <c r="R53">
        <f>Source!X30</f>
        <v>616.07000000000005</v>
      </c>
      <c r="S53">
        <f>ROUND((Source!DO30/100)*ROUND((ROUND((Source!AF30*Source!AV30*Source!I30),2)),2), 2)</f>
        <v>20.77</v>
      </c>
      <c r="T53">
        <f>Source!Y30</f>
        <v>334.82</v>
      </c>
      <c r="U53">
        <f>ROUND((175/100)*ROUND((ROUND((Source!AE30*Source!AV30*Source!I30),2)),2), 2)</f>
        <v>470.37</v>
      </c>
      <c r="V53">
        <f>ROUND((157/100)*ROUND(ROUND((ROUND((Source!AE30*Source!AV30*Source!I30),2)*Source!BS30),2), 2), 2)</f>
        <v>10473.66</v>
      </c>
    </row>
    <row r="54" spans="1:27">
      <c r="C54" s="29" t="str">
        <f>"Объем: "&amp;Source!I30&amp;"=("&amp;Source!I28&amp;"*"&amp;"0,9*"&amp;"100)/"&amp;"100"</f>
        <v>Объем: 1,9132848=(2,125872*0,9*100)/100</v>
      </c>
    </row>
    <row r="55" spans="1:27" ht="14.4">
      <c r="A55" s="22"/>
      <c r="B55" s="23"/>
      <c r="C55" s="23" t="s">
        <v>282</v>
      </c>
      <c r="D55" s="25"/>
      <c r="E55" s="10"/>
      <c r="F55" s="27">
        <f>Source!AO30</f>
        <v>14.1</v>
      </c>
      <c r="G55" s="26" t="str">
        <f>Source!DG30</f>
        <v/>
      </c>
      <c r="H55" s="10">
        <f>Source!AV30</f>
        <v>1</v>
      </c>
      <c r="I55" s="28">
        <f>ROUND((ROUND((Source!AF30*Source!AV30*Source!I30),2)),2)</f>
        <v>26.98</v>
      </c>
      <c r="J55" s="10">
        <f>IF(Source!BA30&lt;&gt; 0, Source!BA30, 1)</f>
        <v>24.82</v>
      </c>
      <c r="K55" s="28">
        <f>Source!S30</f>
        <v>669.64</v>
      </c>
      <c r="W55">
        <f>I55</f>
        <v>26.98</v>
      </c>
    </row>
    <row r="56" spans="1:27" ht="14.4">
      <c r="A56" s="22"/>
      <c r="B56" s="23"/>
      <c r="C56" s="23" t="s">
        <v>283</v>
      </c>
      <c r="D56" s="25"/>
      <c r="E56" s="10"/>
      <c r="F56" s="27">
        <f>Source!AM30</f>
        <v>757.55</v>
      </c>
      <c r="G56" s="26" t="str">
        <f>Source!DE30</f>
        <v/>
      </c>
      <c r="H56" s="10">
        <f>Source!AV30</f>
        <v>1</v>
      </c>
      <c r="I56" s="28">
        <f>(ROUND((ROUND(((Source!ET30)*Source!AV30*Source!I30),2)),2)+ROUND((ROUND(((Source!AE30-(Source!EU30))*Source!AV30*Source!I30),2)),2))</f>
        <v>1449.41</v>
      </c>
      <c r="J56" s="10">
        <f>IF(Source!BB30&lt;&gt; 0, Source!BB30, 1)</f>
        <v>9.7799999999999994</v>
      </c>
      <c r="K56" s="28">
        <f>Source!Q30</f>
        <v>14175.23</v>
      </c>
    </row>
    <row r="57" spans="1:27" ht="14.4">
      <c r="A57" s="22"/>
      <c r="B57" s="23"/>
      <c r="C57" s="23" t="s">
        <v>284</v>
      </c>
      <c r="D57" s="25"/>
      <c r="E57" s="10"/>
      <c r="F57" s="27">
        <f>Source!AN30</f>
        <v>140.47999999999999</v>
      </c>
      <c r="G57" s="26" t="str">
        <f>Source!DF30</f>
        <v/>
      </c>
      <c r="H57" s="10">
        <f>Source!AV30</f>
        <v>1</v>
      </c>
      <c r="I57" s="30">
        <f>ROUND((ROUND((Source!AE30*Source!AV30*Source!I30),2)),2)</f>
        <v>268.77999999999997</v>
      </c>
      <c r="J57" s="10">
        <f>IF(Source!BS30&lt;&gt; 0, Source!BS30, 1)</f>
        <v>24.82</v>
      </c>
      <c r="K57" s="30">
        <f>Source!R30</f>
        <v>6671.12</v>
      </c>
      <c r="W57">
        <f>I57</f>
        <v>268.77999999999997</v>
      </c>
    </row>
    <row r="58" spans="1:27" ht="14.4">
      <c r="A58" s="22"/>
      <c r="B58" s="23"/>
      <c r="C58" s="23" t="s">
        <v>285</v>
      </c>
      <c r="D58" s="25" t="s">
        <v>286</v>
      </c>
      <c r="E58" s="10">
        <f>Source!DN30</f>
        <v>98</v>
      </c>
      <c r="F58" s="27"/>
      <c r="G58" s="26"/>
      <c r="H58" s="10"/>
      <c r="I58" s="28">
        <f>SUM(Q53:Q57)</f>
        <v>26.44</v>
      </c>
      <c r="J58" s="10">
        <f>Source!BZ30</f>
        <v>92</v>
      </c>
      <c r="K58" s="28">
        <f>SUM(R53:R57)</f>
        <v>616.07000000000005</v>
      </c>
    </row>
    <row r="59" spans="1:27" ht="14.4">
      <c r="A59" s="22"/>
      <c r="B59" s="23"/>
      <c r="C59" s="23" t="s">
        <v>287</v>
      </c>
      <c r="D59" s="25" t="s">
        <v>286</v>
      </c>
      <c r="E59" s="10">
        <f>Source!DO30</f>
        <v>77</v>
      </c>
      <c r="F59" s="27"/>
      <c r="G59" s="26"/>
      <c r="H59" s="10"/>
      <c r="I59" s="28">
        <f>SUM(S53:S58)</f>
        <v>20.77</v>
      </c>
      <c r="J59" s="10">
        <f>Source!CA30</f>
        <v>50</v>
      </c>
      <c r="K59" s="28">
        <f>SUM(T53:T58)</f>
        <v>334.82</v>
      </c>
    </row>
    <row r="60" spans="1:27" ht="14.4">
      <c r="A60" s="22"/>
      <c r="B60" s="23"/>
      <c r="C60" s="23" t="s">
        <v>288</v>
      </c>
      <c r="D60" s="25" t="s">
        <v>286</v>
      </c>
      <c r="E60" s="10">
        <f>175</f>
        <v>175</v>
      </c>
      <c r="F60" s="27"/>
      <c r="G60" s="26"/>
      <c r="H60" s="10"/>
      <c r="I60" s="28">
        <f>SUM(U53:U59)</f>
        <v>470.37</v>
      </c>
      <c r="J60" s="10">
        <f>157</f>
        <v>157</v>
      </c>
      <c r="K60" s="28">
        <f>SUM(V53:V59)</f>
        <v>10473.66</v>
      </c>
    </row>
    <row r="61" spans="1:27" ht="14.4">
      <c r="A61" s="22"/>
      <c r="B61" s="23"/>
      <c r="C61" s="23" t="s">
        <v>289</v>
      </c>
      <c r="D61" s="25" t="s">
        <v>290</v>
      </c>
      <c r="E61" s="10">
        <f>Source!AQ30</f>
        <v>1.38</v>
      </c>
      <c r="F61" s="27"/>
      <c r="G61" s="26" t="str">
        <f>Source!DI30</f>
        <v/>
      </c>
      <c r="H61" s="10">
        <f>Source!AV30</f>
        <v>1</v>
      </c>
      <c r="I61" s="28">
        <f>Source!U30</f>
        <v>2.6403330239999998</v>
      </c>
      <c r="J61" s="10"/>
      <c r="K61" s="28"/>
    </row>
    <row r="62" spans="1:27" ht="13.8">
      <c r="A62" s="32"/>
      <c r="B62" s="32"/>
      <c r="C62" s="32"/>
      <c r="D62" s="32"/>
      <c r="E62" s="32"/>
      <c r="F62" s="32"/>
      <c r="G62" s="32"/>
      <c r="H62" s="85">
        <f>I55+I56+I58+I59+I60</f>
        <v>1993.9700000000003</v>
      </c>
      <c r="I62" s="85"/>
      <c r="J62" s="85">
        <f>K55+K56+K58+K59+K60</f>
        <v>26269.42</v>
      </c>
      <c r="K62" s="85"/>
      <c r="O62" s="31">
        <f>I55+I56+I58+I59+I60</f>
        <v>1993.9700000000003</v>
      </c>
      <c r="P62" s="31">
        <f>K55+K56+K58+K59+K60</f>
        <v>26269.42</v>
      </c>
      <c r="X62">
        <f>IF(Source!BI30&lt;=1,I55+I56+I58+I59+I60-0, 0)</f>
        <v>1993.9700000000003</v>
      </c>
      <c r="Y62">
        <f>IF(Source!BI30=2,I55+I56+I58+I59+I60-0, 0)</f>
        <v>0</v>
      </c>
      <c r="Z62">
        <f>IF(Source!BI30=3,I55+I56+I58+I59+I60-0, 0)</f>
        <v>0</v>
      </c>
      <c r="AA62">
        <f>IF(Source!BI30=4,I55+I56+I58+I59+I60,0)</f>
        <v>0</v>
      </c>
    </row>
    <row r="63" spans="1:27" ht="28.8">
      <c r="A63" s="22" t="str">
        <f>Source!E31</f>
        <v>4</v>
      </c>
      <c r="B63" s="23" t="str">
        <f>Source!F31</f>
        <v>6.51-6-1</v>
      </c>
      <c r="C63" s="23" t="s">
        <v>32</v>
      </c>
      <c r="D63" s="25" t="str">
        <f>Source!H31</f>
        <v>100 м3 грунта</v>
      </c>
      <c r="E63" s="10">
        <f>Source!I31</f>
        <v>2.3620800000000001E-2</v>
      </c>
      <c r="F63" s="27"/>
      <c r="G63" s="26"/>
      <c r="H63" s="10"/>
      <c r="I63" s="28"/>
      <c r="J63" s="10"/>
      <c r="K63" s="28"/>
      <c r="Q63">
        <f>ROUND((Source!DN31/100)*ROUND((ROUND((Source!AF31*Source!AV31*Source!I31),2)),2), 2)</f>
        <v>17.09</v>
      </c>
      <c r="R63">
        <f>Source!X31</f>
        <v>340.27</v>
      </c>
      <c r="S63">
        <f>ROUND((Source!DO31/100)*ROUND((ROUND((Source!AF31*Source!AV31*Source!I31),2)),2), 2)</f>
        <v>12.58</v>
      </c>
      <c r="T63">
        <f>Source!Y31</f>
        <v>191.11</v>
      </c>
      <c r="U63">
        <f>ROUND((175/100)*ROUND((ROUND((Source!AE31*Source!AV31*Source!I31),2)),2), 2)</f>
        <v>0</v>
      </c>
      <c r="V63">
        <f>ROUND((157/100)*ROUND(ROUND((ROUND((Source!AE31*Source!AV31*Source!I31),2)*Source!BS31),2), 2), 2)</f>
        <v>0</v>
      </c>
    </row>
    <row r="64" spans="1:27">
      <c r="C64" s="29" t="str">
        <f>"Объем: "&amp;Source!I31&amp;"=("&amp;Source!I29&amp;"*"&amp;"0,1*"&amp;"100)/"&amp;"100"</f>
        <v>Объем: 0,0236208=(0,236208*0,1*100)/100</v>
      </c>
    </row>
    <row r="65" spans="1:27" ht="14.4">
      <c r="A65" s="22"/>
      <c r="B65" s="23"/>
      <c r="C65" s="23" t="s">
        <v>282</v>
      </c>
      <c r="D65" s="25"/>
      <c r="E65" s="10"/>
      <c r="F65" s="27">
        <f>Source!AO31</f>
        <v>795.14</v>
      </c>
      <c r="G65" s="26" t="str">
        <f>Source!DG31</f>
        <v/>
      </c>
      <c r="H65" s="10">
        <f>Source!AV31</f>
        <v>1</v>
      </c>
      <c r="I65" s="28">
        <f>ROUND((ROUND((Source!AF31*Source!AV31*Source!I31),2)),2)</f>
        <v>18.78</v>
      </c>
      <c r="J65" s="10">
        <f>IF(Source!BA31&lt;&gt; 0, Source!BA31, 1)</f>
        <v>24.82</v>
      </c>
      <c r="K65" s="28">
        <f>Source!S31</f>
        <v>466.12</v>
      </c>
      <c r="W65">
        <f>I65</f>
        <v>18.78</v>
      </c>
    </row>
    <row r="66" spans="1:27" ht="14.4">
      <c r="A66" s="22"/>
      <c r="B66" s="23"/>
      <c r="C66" s="23" t="s">
        <v>285</v>
      </c>
      <c r="D66" s="25" t="s">
        <v>286</v>
      </c>
      <c r="E66" s="10">
        <f>Source!DN31</f>
        <v>91</v>
      </c>
      <c r="F66" s="27"/>
      <c r="G66" s="26"/>
      <c r="H66" s="10"/>
      <c r="I66" s="28">
        <f>SUM(Q63:Q65)</f>
        <v>17.09</v>
      </c>
      <c r="J66" s="10">
        <f>Source!BZ31</f>
        <v>73</v>
      </c>
      <c r="K66" s="28">
        <f>SUM(R63:R65)</f>
        <v>340.27</v>
      </c>
    </row>
    <row r="67" spans="1:27" ht="14.4">
      <c r="A67" s="22"/>
      <c r="B67" s="23"/>
      <c r="C67" s="23" t="s">
        <v>287</v>
      </c>
      <c r="D67" s="25" t="s">
        <v>286</v>
      </c>
      <c r="E67" s="10">
        <f>Source!DO31</f>
        <v>67</v>
      </c>
      <c r="F67" s="27"/>
      <c r="G67" s="26"/>
      <c r="H67" s="10"/>
      <c r="I67" s="28">
        <f>SUM(S63:S66)</f>
        <v>12.58</v>
      </c>
      <c r="J67" s="10">
        <f>Source!CA31</f>
        <v>41</v>
      </c>
      <c r="K67" s="28">
        <f>SUM(T63:T66)</f>
        <v>191.11</v>
      </c>
    </row>
    <row r="68" spans="1:27" ht="14.4">
      <c r="A68" s="22"/>
      <c r="B68" s="23"/>
      <c r="C68" s="23" t="s">
        <v>289</v>
      </c>
      <c r="D68" s="25" t="s">
        <v>290</v>
      </c>
      <c r="E68" s="10">
        <f>Source!AQ31</f>
        <v>83</v>
      </c>
      <c r="F68" s="27"/>
      <c r="G68" s="26" t="str">
        <f>Source!DI31</f>
        <v/>
      </c>
      <c r="H68" s="10">
        <f>Source!AV31</f>
        <v>1</v>
      </c>
      <c r="I68" s="28">
        <f>Source!U31</f>
        <v>1.9605264</v>
      </c>
      <c r="J68" s="10"/>
      <c r="K68" s="28"/>
    </row>
    <row r="69" spans="1:27" ht="13.8">
      <c r="A69" s="32"/>
      <c r="B69" s="32"/>
      <c r="C69" s="32"/>
      <c r="D69" s="32"/>
      <c r="E69" s="32"/>
      <c r="F69" s="32"/>
      <c r="G69" s="32"/>
      <c r="H69" s="85">
        <f>I65+I66+I67</f>
        <v>48.45</v>
      </c>
      <c r="I69" s="85"/>
      <c r="J69" s="85">
        <f>K65+K66+K67</f>
        <v>997.5</v>
      </c>
      <c r="K69" s="85"/>
      <c r="O69" s="31">
        <f>I65+I66+I67</f>
        <v>48.45</v>
      </c>
      <c r="P69" s="31">
        <f>K65+K66+K67</f>
        <v>997.5</v>
      </c>
      <c r="X69">
        <f>IF(Source!BI31&lt;=1,I65+I66+I67-0, 0)</f>
        <v>48.45</v>
      </c>
      <c r="Y69">
        <f>IF(Source!BI31=2,I65+I66+I67-0, 0)</f>
        <v>0</v>
      </c>
      <c r="Z69">
        <f>IF(Source!BI31=3,I65+I66+I67-0, 0)</f>
        <v>0</v>
      </c>
      <c r="AA69">
        <f>IF(Source!BI31=4,I65+I66+I67,0)</f>
        <v>0</v>
      </c>
    </row>
    <row r="70" spans="1:27" ht="100.8">
      <c r="A70" s="22" t="str">
        <f>Source!E32</f>
        <v>5</v>
      </c>
      <c r="B70" s="23" t="str">
        <f>Source!F32</f>
        <v>3.27-12-1</v>
      </c>
      <c r="C70" s="23" t="s">
        <v>39</v>
      </c>
      <c r="D70" s="25" t="str">
        <f>Source!H32</f>
        <v>100 м3 материала основания (в плотном теле)</v>
      </c>
      <c r="E70" s="10">
        <f>Source!I32</f>
        <v>1.1248</v>
      </c>
      <c r="F70" s="27"/>
      <c r="G70" s="26"/>
      <c r="H70" s="10"/>
      <c r="I70" s="28"/>
      <c r="J70" s="10"/>
      <c r="K70" s="28"/>
      <c r="Q70">
        <f>ROUND((Source!DN32/100)*ROUND((ROUND((Source!AF32*Source!AV32*Source!I32),2)),2), 2)</f>
        <v>274.33999999999997</v>
      </c>
      <c r="R70">
        <f>Source!X32</f>
        <v>5540.42</v>
      </c>
      <c r="S70">
        <f>ROUND((Source!DO32/100)*ROUND((ROUND((Source!AF32*Source!AV32*Source!I32),2)),2), 2)</f>
        <v>182.33</v>
      </c>
      <c r="T70">
        <f>Source!Y32</f>
        <v>2283.84</v>
      </c>
      <c r="U70">
        <f>ROUND((175/100)*ROUND((ROUND((Source!AE32*Source!AV32*Source!I32),2)),2), 2)</f>
        <v>234.34</v>
      </c>
      <c r="V70">
        <f>ROUND((157/100)*ROUND(ROUND((ROUND((Source!AE32*Source!AV32*Source!I32),2)*Source!BS32),2), 2), 2)</f>
        <v>5218.13</v>
      </c>
    </row>
    <row r="71" spans="1:27">
      <c r="C71" s="29" t="str">
        <f>"Объем: "&amp;Source!I32&amp;"=562,4*"&amp;"0,2/"&amp;"100"</f>
        <v>Объем: 1,1248=562,4*0,2/100</v>
      </c>
    </row>
    <row r="72" spans="1:27" ht="14.4">
      <c r="A72" s="22"/>
      <c r="B72" s="23"/>
      <c r="C72" s="23" t="s">
        <v>282</v>
      </c>
      <c r="D72" s="25"/>
      <c r="E72" s="10"/>
      <c r="F72" s="27">
        <f>Source!AO32</f>
        <v>151.49</v>
      </c>
      <c r="G72" s="26" t="str">
        <f>Source!DG32</f>
        <v/>
      </c>
      <c r="H72" s="10">
        <f>Source!AV32</f>
        <v>1</v>
      </c>
      <c r="I72" s="28">
        <f>ROUND((ROUND((Source!AF32*Source!AV32*Source!I32),2)),2)</f>
        <v>170.4</v>
      </c>
      <c r="J72" s="10">
        <f>IF(Source!BA32&lt;&gt; 0, Source!BA32, 1)</f>
        <v>24.82</v>
      </c>
      <c r="K72" s="28">
        <f>Source!S32</f>
        <v>4229.33</v>
      </c>
      <c r="W72">
        <f>I72</f>
        <v>170.4</v>
      </c>
    </row>
    <row r="73" spans="1:27" ht="14.4">
      <c r="A73" s="22"/>
      <c r="B73" s="23"/>
      <c r="C73" s="23" t="s">
        <v>283</v>
      </c>
      <c r="D73" s="25"/>
      <c r="E73" s="10"/>
      <c r="F73" s="27">
        <f>Source!AM32</f>
        <v>676.47</v>
      </c>
      <c r="G73" s="26" t="str">
        <f>Source!DE32</f>
        <v/>
      </c>
      <c r="H73" s="10">
        <f>Source!AV32</f>
        <v>1</v>
      </c>
      <c r="I73" s="28">
        <f>(ROUND((ROUND(((Source!ET32)*Source!AV32*Source!I32),2)),2)+ROUND((ROUND(((Source!AE32-(Source!EU32))*Source!AV32*Source!I32),2)),2))</f>
        <v>760.89</v>
      </c>
      <c r="J73" s="10">
        <f>IF(Source!BB32&lt;&gt; 0, Source!BB32, 1)</f>
        <v>9.57</v>
      </c>
      <c r="K73" s="28">
        <f>Source!Q32</f>
        <v>7281.72</v>
      </c>
    </row>
    <row r="74" spans="1:27" ht="14.4">
      <c r="A74" s="22"/>
      <c r="B74" s="23"/>
      <c r="C74" s="23" t="s">
        <v>284</v>
      </c>
      <c r="D74" s="25"/>
      <c r="E74" s="10"/>
      <c r="F74" s="27">
        <f>Source!AN32</f>
        <v>119.05</v>
      </c>
      <c r="G74" s="26" t="str">
        <f>Source!DF32</f>
        <v/>
      </c>
      <c r="H74" s="10">
        <f>Source!AV32</f>
        <v>1</v>
      </c>
      <c r="I74" s="30">
        <f>ROUND((ROUND((Source!AE32*Source!AV32*Source!I32),2)),2)</f>
        <v>133.91</v>
      </c>
      <c r="J74" s="10">
        <f>IF(Source!BS32&lt;&gt; 0, Source!BS32, 1)</f>
        <v>24.82</v>
      </c>
      <c r="K74" s="30">
        <f>Source!R32</f>
        <v>3323.65</v>
      </c>
      <c r="W74">
        <f>I74</f>
        <v>133.91</v>
      </c>
    </row>
    <row r="75" spans="1:27" ht="14.4">
      <c r="A75" s="22"/>
      <c r="B75" s="23"/>
      <c r="C75" s="23" t="s">
        <v>291</v>
      </c>
      <c r="D75" s="25"/>
      <c r="E75" s="10"/>
      <c r="F75" s="27">
        <f>Source!AL32</f>
        <v>35.35</v>
      </c>
      <c r="G75" s="26" t="str">
        <f>Source!DD32</f>
        <v/>
      </c>
      <c r="H75" s="10">
        <f>Source!AW32</f>
        <v>1</v>
      </c>
      <c r="I75" s="28">
        <f>ROUND((ROUND((Source!AC32*Source!AW32*Source!I32),2)),2)</f>
        <v>39.76</v>
      </c>
      <c r="J75" s="10">
        <f>IF(Source!BC32&lt;&gt; 0, Source!BC32, 1)</f>
        <v>4.99</v>
      </c>
      <c r="K75" s="28">
        <f>Source!P32</f>
        <v>198.4</v>
      </c>
    </row>
    <row r="76" spans="1:27" ht="14.4">
      <c r="A76" s="22" t="str">
        <f>Source!E33</f>
        <v>5,1</v>
      </c>
      <c r="B76" s="23" t="str">
        <f>Source!F33</f>
        <v>1.1-1-766</v>
      </c>
      <c r="C76" s="23" t="s">
        <v>46</v>
      </c>
      <c r="D76" s="25" t="str">
        <f>Source!H33</f>
        <v>м3</v>
      </c>
      <c r="E76" s="10">
        <f>Source!I33</f>
        <v>123.72800000000001</v>
      </c>
      <c r="F76" s="27">
        <f>Source!AK33</f>
        <v>104.99</v>
      </c>
      <c r="G76" s="33" t="s">
        <v>3</v>
      </c>
      <c r="H76" s="10">
        <f>Source!AW33</f>
        <v>1</v>
      </c>
      <c r="I76" s="28">
        <f>ROUND((ROUND((Source!AC33*Source!AW33*Source!I33),2)),2)+(ROUND((ROUND(((Source!ET33)*Source!AV33*Source!I33),2)),2)+ROUND((ROUND(((Source!AE33-(Source!EU33))*Source!AV33*Source!I33),2)),2))+ROUND((ROUND((Source!AF33*Source!AV33*Source!I33),2)),2)</f>
        <v>12990.2</v>
      </c>
      <c r="J76" s="10">
        <f>IF(Source!BC33&lt;&gt; 0, Source!BC33, 1)</f>
        <v>5.26</v>
      </c>
      <c r="K76" s="28">
        <f>Source!O33</f>
        <v>68328.45</v>
      </c>
      <c r="Q76">
        <f>ROUND((Source!DN33/100)*ROUND((ROUND((Source!AF33*Source!AV33*Source!I33),2)),2), 2)</f>
        <v>0</v>
      </c>
      <c r="R76">
        <f>Source!X33</f>
        <v>0</v>
      </c>
      <c r="S76">
        <f>ROUND((Source!DO33/100)*ROUND((ROUND((Source!AF33*Source!AV33*Source!I33),2)),2), 2)</f>
        <v>0</v>
      </c>
      <c r="T76">
        <f>Source!Y33</f>
        <v>0</v>
      </c>
      <c r="U76">
        <f>ROUND((175/100)*ROUND((ROUND((Source!AE33*Source!AV33*Source!I33),2)),2), 2)</f>
        <v>0</v>
      </c>
      <c r="V76">
        <f>ROUND((157/100)*ROUND(ROUND((ROUND((Source!AE33*Source!AV33*Source!I33),2)*Source!BS33),2), 2), 2)</f>
        <v>0</v>
      </c>
      <c r="X76">
        <f>IF(Source!BI33&lt;=1,I76, 0)</f>
        <v>12990.2</v>
      </c>
      <c r="Y76">
        <f>IF(Source!BI33=2,I76, 0)</f>
        <v>0</v>
      </c>
      <c r="Z76">
        <f>IF(Source!BI33=3,I76, 0)</f>
        <v>0</v>
      </c>
      <c r="AA76">
        <f>IF(Source!BI33=4,I76, 0)</f>
        <v>0</v>
      </c>
    </row>
    <row r="77" spans="1:27" ht="14.4">
      <c r="A77" s="22"/>
      <c r="B77" s="23"/>
      <c r="C77" s="23" t="s">
        <v>285</v>
      </c>
      <c r="D77" s="25" t="s">
        <v>286</v>
      </c>
      <c r="E77" s="10">
        <f>Source!DN32</f>
        <v>161</v>
      </c>
      <c r="F77" s="27"/>
      <c r="G77" s="26"/>
      <c r="H77" s="10"/>
      <c r="I77" s="28">
        <f>SUM(Q70:Q76)</f>
        <v>274.33999999999997</v>
      </c>
      <c r="J77" s="10">
        <f>Source!BZ32</f>
        <v>131</v>
      </c>
      <c r="K77" s="28">
        <f>SUM(R70:R76)</f>
        <v>5540.42</v>
      </c>
    </row>
    <row r="78" spans="1:27" ht="14.4">
      <c r="A78" s="22"/>
      <c r="B78" s="23"/>
      <c r="C78" s="23" t="s">
        <v>287</v>
      </c>
      <c r="D78" s="25" t="s">
        <v>286</v>
      </c>
      <c r="E78" s="10">
        <f>Source!DO32</f>
        <v>107</v>
      </c>
      <c r="F78" s="27"/>
      <c r="G78" s="26"/>
      <c r="H78" s="10"/>
      <c r="I78" s="28">
        <f>SUM(S70:S77)</f>
        <v>182.33</v>
      </c>
      <c r="J78" s="10">
        <f>Source!CA32</f>
        <v>54</v>
      </c>
      <c r="K78" s="28">
        <f>SUM(T70:T77)</f>
        <v>2283.84</v>
      </c>
    </row>
    <row r="79" spans="1:27" ht="14.4">
      <c r="A79" s="22"/>
      <c r="B79" s="23"/>
      <c r="C79" s="23" t="s">
        <v>288</v>
      </c>
      <c r="D79" s="25" t="s">
        <v>286</v>
      </c>
      <c r="E79" s="10">
        <f>175</f>
        <v>175</v>
      </c>
      <c r="F79" s="27"/>
      <c r="G79" s="26"/>
      <c r="H79" s="10"/>
      <c r="I79" s="28">
        <f>SUM(U70:U78)</f>
        <v>234.34</v>
      </c>
      <c r="J79" s="10">
        <f>157</f>
        <v>157</v>
      </c>
      <c r="K79" s="28">
        <f>SUM(V70:V78)</f>
        <v>5218.13</v>
      </c>
    </row>
    <row r="80" spans="1:27" ht="14.4">
      <c r="A80" s="22"/>
      <c r="B80" s="23"/>
      <c r="C80" s="23" t="s">
        <v>289</v>
      </c>
      <c r="D80" s="25" t="s">
        <v>290</v>
      </c>
      <c r="E80" s="10">
        <f>Source!AQ32</f>
        <v>14.4</v>
      </c>
      <c r="F80" s="27"/>
      <c r="G80" s="26" t="str">
        <f>Source!DI32</f>
        <v/>
      </c>
      <c r="H80" s="10">
        <f>Source!AV32</f>
        <v>1</v>
      </c>
      <c r="I80" s="28">
        <f>Source!U32</f>
        <v>16.197120000000002</v>
      </c>
      <c r="J80" s="10"/>
      <c r="K80" s="28"/>
    </row>
    <row r="81" spans="1:27" ht="13.8">
      <c r="A81" s="32"/>
      <c r="B81" s="32"/>
      <c r="C81" s="32"/>
      <c r="D81" s="32"/>
      <c r="E81" s="32"/>
      <c r="F81" s="32"/>
      <c r="G81" s="32"/>
      <c r="H81" s="85">
        <f>I72+I73+I75+I77+I78+I79+SUM(I76:I76)</f>
        <v>14652.26</v>
      </c>
      <c r="I81" s="85"/>
      <c r="J81" s="85">
        <f>K72+K73+K75+K77+K78+K79+SUM(K76:K76)</f>
        <v>93080.29</v>
      </c>
      <c r="K81" s="85"/>
      <c r="O81" s="31">
        <f>I72+I73+I75+I77+I78+I79+SUM(I76:I76)</f>
        <v>14652.26</v>
      </c>
      <c r="P81" s="31">
        <f>K72+K73+K75+K77+K78+K79+SUM(K76:K76)</f>
        <v>93080.29</v>
      </c>
      <c r="X81">
        <f>IF(Source!BI32&lt;=1,I72+I73+I75+I77+I78+I79-0, 0)</f>
        <v>1662.0599999999997</v>
      </c>
      <c r="Y81">
        <f>IF(Source!BI32=2,I72+I73+I75+I77+I78+I79-0, 0)</f>
        <v>0</v>
      </c>
      <c r="Z81">
        <f>IF(Source!BI32=3,I72+I73+I75+I77+I78+I79-0, 0)</f>
        <v>0</v>
      </c>
      <c r="AA81">
        <f>IF(Source!BI32=4,I72+I73+I75+I77+I78+I79,0)</f>
        <v>0</v>
      </c>
    </row>
    <row r="82" spans="1:27" ht="100.8">
      <c r="A82" s="22" t="str">
        <f>Source!E34</f>
        <v>6</v>
      </c>
      <c r="B82" s="23" t="str">
        <f>Source!F34</f>
        <v>3.27-12-2</v>
      </c>
      <c r="C82" s="23" t="s">
        <v>51</v>
      </c>
      <c r="D82" s="25" t="str">
        <f>Source!H34</f>
        <v>100 м3 материала основания (в плотном теле)</v>
      </c>
      <c r="E82" s="10">
        <f>Source!I34</f>
        <v>0.84360000000000002</v>
      </c>
      <c r="F82" s="27"/>
      <c r="G82" s="26"/>
      <c r="H82" s="10"/>
      <c r="I82" s="28"/>
      <c r="J82" s="10"/>
      <c r="K82" s="28"/>
      <c r="Q82">
        <f>ROUND((Source!DN34/100)*ROUND((ROUND((Source!AF34*Source!AV34*Source!I34),2)),2), 2)</f>
        <v>308.62</v>
      </c>
      <c r="R82">
        <f>Source!X34</f>
        <v>6232.65</v>
      </c>
      <c r="S82">
        <f>ROUND((Source!DO34/100)*ROUND((ROUND((Source!AF34*Source!AV34*Source!I34),2)),2), 2)</f>
        <v>205.11</v>
      </c>
      <c r="T82">
        <f>Source!Y34</f>
        <v>2569.19</v>
      </c>
      <c r="U82">
        <f>ROUND((175/100)*ROUND((ROUND((Source!AE34*Source!AV34*Source!I34),2)),2), 2)</f>
        <v>933.31</v>
      </c>
      <c r="V82">
        <f>ROUND((157/100)*ROUND(ROUND((ROUND((Source!AE34*Source!AV34*Source!I34),2)*Source!BS34),2), 2), 2)</f>
        <v>20782.09</v>
      </c>
    </row>
    <row r="83" spans="1:27">
      <c r="C83" s="29" t="str">
        <f>"Объем: "&amp;Source!I34&amp;"=562,4*"&amp;"0,15/"&amp;"100"</f>
        <v>Объем: 0,8436=562,4*0,15/100</v>
      </c>
    </row>
    <row r="84" spans="1:27" ht="14.4">
      <c r="A84" s="22"/>
      <c r="B84" s="23"/>
      <c r="C84" s="23" t="s">
        <v>282</v>
      </c>
      <c r="D84" s="25"/>
      <c r="E84" s="10"/>
      <c r="F84" s="27">
        <f>Source!AO34</f>
        <v>227.23</v>
      </c>
      <c r="G84" s="26" t="str">
        <f>Source!DG34</f>
        <v/>
      </c>
      <c r="H84" s="10">
        <f>Source!AV34</f>
        <v>1</v>
      </c>
      <c r="I84" s="28">
        <f>ROUND((ROUND((Source!AF34*Source!AV34*Source!I34),2)),2)</f>
        <v>191.69</v>
      </c>
      <c r="J84" s="10">
        <f>IF(Source!BA34&lt;&gt; 0, Source!BA34, 1)</f>
        <v>24.82</v>
      </c>
      <c r="K84" s="28">
        <f>Source!S34</f>
        <v>4757.75</v>
      </c>
      <c r="W84">
        <f>I84</f>
        <v>191.69</v>
      </c>
    </row>
    <row r="85" spans="1:27" ht="14.4">
      <c r="A85" s="22"/>
      <c r="B85" s="23"/>
      <c r="C85" s="23" t="s">
        <v>283</v>
      </c>
      <c r="D85" s="25"/>
      <c r="E85" s="10"/>
      <c r="F85" s="27">
        <f>Source!AM34</f>
        <v>3024.67</v>
      </c>
      <c r="G85" s="26" t="str">
        <f>Source!DE34</f>
        <v/>
      </c>
      <c r="H85" s="10">
        <f>Source!AV34</f>
        <v>1</v>
      </c>
      <c r="I85" s="28">
        <f>(ROUND((ROUND(((Source!ET34)*Source!AV34*Source!I34),2)),2)+ROUND((ROUND(((Source!AE34-(Source!EU34))*Source!AV34*Source!I34),2)),2))</f>
        <v>2551.61</v>
      </c>
      <c r="J85" s="10">
        <f>IF(Source!BB34&lt;&gt; 0, Source!BB34, 1)</f>
        <v>8.5</v>
      </c>
      <c r="K85" s="28">
        <f>Source!Q34</f>
        <v>21688.69</v>
      </c>
    </row>
    <row r="86" spans="1:27" ht="14.4">
      <c r="A86" s="22"/>
      <c r="B86" s="23"/>
      <c r="C86" s="23" t="s">
        <v>284</v>
      </c>
      <c r="D86" s="25"/>
      <c r="E86" s="10"/>
      <c r="F86" s="27">
        <f>Source!AN34</f>
        <v>632.20000000000005</v>
      </c>
      <c r="G86" s="26" t="str">
        <f>Source!DF34</f>
        <v/>
      </c>
      <c r="H86" s="10">
        <f>Source!AV34</f>
        <v>1</v>
      </c>
      <c r="I86" s="30">
        <f>ROUND((ROUND((Source!AE34*Source!AV34*Source!I34),2)),2)</f>
        <v>533.32000000000005</v>
      </c>
      <c r="J86" s="10">
        <f>IF(Source!BS34&lt;&gt; 0, Source!BS34, 1)</f>
        <v>24.82</v>
      </c>
      <c r="K86" s="30">
        <f>Source!R34</f>
        <v>13237</v>
      </c>
      <c r="W86">
        <f>I86</f>
        <v>533.32000000000005</v>
      </c>
    </row>
    <row r="87" spans="1:27" ht="14.4">
      <c r="A87" s="22"/>
      <c r="B87" s="23"/>
      <c r="C87" s="23" t="s">
        <v>291</v>
      </c>
      <c r="D87" s="25"/>
      <c r="E87" s="10"/>
      <c r="F87" s="27">
        <f>Source!AL34</f>
        <v>49.49</v>
      </c>
      <c r="G87" s="26" t="str">
        <f>Source!DD34</f>
        <v/>
      </c>
      <c r="H87" s="10">
        <f>Source!AW34</f>
        <v>1</v>
      </c>
      <c r="I87" s="28">
        <f>ROUND((ROUND((Source!AC34*Source!AW34*Source!I34),2)),2)</f>
        <v>41.75</v>
      </c>
      <c r="J87" s="10">
        <f>IF(Source!BC34&lt;&gt; 0, Source!BC34, 1)</f>
        <v>4.99</v>
      </c>
      <c r="K87" s="28">
        <f>Source!P34</f>
        <v>208.33</v>
      </c>
    </row>
    <row r="88" spans="1:27" ht="41.4">
      <c r="A88" s="22" t="str">
        <f>Source!E35</f>
        <v>6,1</v>
      </c>
      <c r="B88" s="23" t="str">
        <f>Source!F35</f>
        <v>1.1-1-1550</v>
      </c>
      <c r="C88" s="23" t="s">
        <v>55</v>
      </c>
      <c r="D88" s="25" t="str">
        <f>Source!H35</f>
        <v>м3</v>
      </c>
      <c r="E88" s="10">
        <f>Source!I35</f>
        <v>106.2936</v>
      </c>
      <c r="F88" s="27">
        <f>Source!AK35</f>
        <v>173.37</v>
      </c>
      <c r="G88" s="33" t="s">
        <v>3</v>
      </c>
      <c r="H88" s="10">
        <f>Source!AW35</f>
        <v>1</v>
      </c>
      <c r="I88" s="28">
        <f>ROUND((ROUND((Source!AC35*Source!AW35*Source!I35),2)),2)+(ROUND((ROUND(((Source!ET35)*Source!AV35*Source!I35),2)),2)+ROUND((ROUND(((Source!AE35-(Source!EU35))*Source!AV35*Source!I35),2)),2))+ROUND((ROUND((Source!AF35*Source!AV35*Source!I35),2)),2)</f>
        <v>18428.12</v>
      </c>
      <c r="J88" s="10">
        <f>IF(Source!BC35&lt;&gt; 0, Source!BC35, 1)</f>
        <v>10.47</v>
      </c>
      <c r="K88" s="28">
        <f>Source!O35</f>
        <v>192942.42</v>
      </c>
      <c r="Q88">
        <f>ROUND((Source!DN35/100)*ROUND((ROUND((Source!AF35*Source!AV35*Source!I35),2)),2), 2)</f>
        <v>0</v>
      </c>
      <c r="R88">
        <f>Source!X35</f>
        <v>0</v>
      </c>
      <c r="S88">
        <f>ROUND((Source!DO35/100)*ROUND((ROUND((Source!AF35*Source!AV35*Source!I35),2)),2), 2)</f>
        <v>0</v>
      </c>
      <c r="T88">
        <f>Source!Y35</f>
        <v>0</v>
      </c>
      <c r="U88">
        <f>ROUND((175/100)*ROUND((ROUND((Source!AE35*Source!AV35*Source!I35),2)),2), 2)</f>
        <v>0</v>
      </c>
      <c r="V88">
        <f>ROUND((157/100)*ROUND(ROUND((ROUND((Source!AE35*Source!AV35*Source!I35),2)*Source!BS35),2), 2), 2)</f>
        <v>0</v>
      </c>
      <c r="X88">
        <f>IF(Source!BI35&lt;=1,I88, 0)</f>
        <v>18428.12</v>
      </c>
      <c r="Y88">
        <f>IF(Source!BI35=2,I88, 0)</f>
        <v>0</v>
      </c>
      <c r="Z88">
        <f>IF(Source!BI35=3,I88, 0)</f>
        <v>0</v>
      </c>
      <c r="AA88">
        <f>IF(Source!BI35=4,I88, 0)</f>
        <v>0</v>
      </c>
    </row>
    <row r="89" spans="1:27" ht="14.4">
      <c r="A89" s="22"/>
      <c r="B89" s="23"/>
      <c r="C89" s="23" t="s">
        <v>285</v>
      </c>
      <c r="D89" s="25" t="s">
        <v>286</v>
      </c>
      <c r="E89" s="10">
        <f>Source!DN34</f>
        <v>161</v>
      </c>
      <c r="F89" s="27"/>
      <c r="G89" s="26"/>
      <c r="H89" s="10"/>
      <c r="I89" s="28">
        <f>SUM(Q82:Q88)</f>
        <v>308.62</v>
      </c>
      <c r="J89" s="10">
        <f>Source!BZ34</f>
        <v>131</v>
      </c>
      <c r="K89" s="28">
        <f>SUM(R82:R88)</f>
        <v>6232.65</v>
      </c>
    </row>
    <row r="90" spans="1:27" ht="14.4">
      <c r="A90" s="22"/>
      <c r="B90" s="23"/>
      <c r="C90" s="23" t="s">
        <v>287</v>
      </c>
      <c r="D90" s="25" t="s">
        <v>286</v>
      </c>
      <c r="E90" s="10">
        <f>Source!DO34</f>
        <v>107</v>
      </c>
      <c r="F90" s="27"/>
      <c r="G90" s="26"/>
      <c r="H90" s="10"/>
      <c r="I90" s="28">
        <f>SUM(S82:S89)</f>
        <v>205.11</v>
      </c>
      <c r="J90" s="10">
        <f>Source!CA34</f>
        <v>54</v>
      </c>
      <c r="K90" s="28">
        <f>SUM(T82:T89)</f>
        <v>2569.19</v>
      </c>
    </row>
    <row r="91" spans="1:27" ht="14.4">
      <c r="A91" s="22"/>
      <c r="B91" s="23"/>
      <c r="C91" s="23" t="s">
        <v>288</v>
      </c>
      <c r="D91" s="25" t="s">
        <v>286</v>
      </c>
      <c r="E91" s="10">
        <f>175</f>
        <v>175</v>
      </c>
      <c r="F91" s="27"/>
      <c r="G91" s="26"/>
      <c r="H91" s="10"/>
      <c r="I91" s="28">
        <f>SUM(U82:U90)</f>
        <v>933.31</v>
      </c>
      <c r="J91" s="10">
        <f>157</f>
        <v>157</v>
      </c>
      <c r="K91" s="28">
        <f>SUM(V82:V90)</f>
        <v>20782.09</v>
      </c>
    </row>
    <row r="92" spans="1:27" ht="14.4">
      <c r="A92" s="22"/>
      <c r="B92" s="23"/>
      <c r="C92" s="23" t="s">
        <v>289</v>
      </c>
      <c r="D92" s="25" t="s">
        <v>290</v>
      </c>
      <c r="E92" s="10">
        <f>Source!AQ34</f>
        <v>21.6</v>
      </c>
      <c r="F92" s="27"/>
      <c r="G92" s="26" t="str">
        <f>Source!DI34</f>
        <v/>
      </c>
      <c r="H92" s="10">
        <f>Source!AV34</f>
        <v>1</v>
      </c>
      <c r="I92" s="28">
        <f>Source!U34</f>
        <v>18.221760000000003</v>
      </c>
      <c r="J92" s="10"/>
      <c r="K92" s="28"/>
    </row>
    <row r="93" spans="1:27" ht="13.8">
      <c r="A93" s="32"/>
      <c r="B93" s="32"/>
      <c r="C93" s="32"/>
      <c r="D93" s="32"/>
      <c r="E93" s="32"/>
      <c r="F93" s="32"/>
      <c r="G93" s="32"/>
      <c r="H93" s="85">
        <f>I84+I85+I87+I89+I90+I91+SUM(I88:I88)</f>
        <v>22660.21</v>
      </c>
      <c r="I93" s="85"/>
      <c r="J93" s="85">
        <f>K84+K85+K87+K89+K90+K91+SUM(K88:K88)</f>
        <v>249181.12</v>
      </c>
      <c r="K93" s="85"/>
      <c r="O93" s="31">
        <f>I84+I85+I87+I89+I90+I91+SUM(I88:I88)</f>
        <v>22660.21</v>
      </c>
      <c r="P93" s="31">
        <f>K84+K85+K87+K89+K90+K91+SUM(K88:K88)</f>
        <v>249181.12</v>
      </c>
      <c r="X93">
        <f>IF(Source!BI34&lt;=1,I84+I85+I87+I89+I90+I91-0, 0)</f>
        <v>4232.09</v>
      </c>
      <c r="Y93">
        <f>IF(Source!BI34=2,I84+I85+I87+I89+I90+I91-0, 0)</f>
        <v>0</v>
      </c>
      <c r="Z93">
        <f>IF(Source!BI34=3,I84+I85+I87+I89+I90+I91-0, 0)</f>
        <v>0</v>
      </c>
      <c r="AA93">
        <f>IF(Source!BI34=4,I84+I85+I87+I89+I90+I91,0)</f>
        <v>0</v>
      </c>
    </row>
    <row r="94" spans="1:27" ht="55.2">
      <c r="A94" s="22" t="str">
        <f>Source!E36</f>
        <v>7</v>
      </c>
      <c r="B94" s="23" t="str">
        <f>Source!F36</f>
        <v>3.27-47-4</v>
      </c>
      <c r="C94" s="23" t="s">
        <v>59</v>
      </c>
      <c r="D94" s="25" t="str">
        <f>Source!H36</f>
        <v>100 м2 покрытия</v>
      </c>
      <c r="E94" s="10">
        <f>Source!I36</f>
        <v>5.6239999999999997</v>
      </c>
      <c r="F94" s="27"/>
      <c r="G94" s="26"/>
      <c r="H94" s="10"/>
      <c r="I94" s="28"/>
      <c r="J94" s="10"/>
      <c r="K94" s="28"/>
      <c r="Q94">
        <f>ROUND((Source!DN36/100)*ROUND((ROUND((Source!AF36*Source!AV36*Source!I36),2)),2), 2)</f>
        <v>812.32</v>
      </c>
      <c r="R94">
        <f>Source!X36</f>
        <v>15948.9</v>
      </c>
      <c r="S94">
        <f>ROUND((Source!DO36/100)*ROUND((ROUND((Source!AF36*Source!AV36*Source!I36),2)),2), 2)</f>
        <v>503.15</v>
      </c>
      <c r="T94">
        <f>Source!Y36</f>
        <v>6168.91</v>
      </c>
      <c r="U94">
        <f>ROUND((175/100)*ROUND((ROUND((Source!AE36*Source!AV36*Source!I36),2)),2), 2)</f>
        <v>159.63999999999999</v>
      </c>
      <c r="V94">
        <f>ROUND((157/100)*ROUND(ROUND((ROUND((Source!AE36*Source!AV36*Source!I36),2)*Source!BS36),2), 2), 2)</f>
        <v>3554.61</v>
      </c>
    </row>
    <row r="95" spans="1:27">
      <c r="C95" s="29" t="str">
        <f>"Объем: "&amp;Source!I36&amp;"=562,4/"&amp;"100"</f>
        <v>Объем: 5,624=562,4/100</v>
      </c>
    </row>
    <row r="96" spans="1:27" ht="14.4">
      <c r="A96" s="22"/>
      <c r="B96" s="23"/>
      <c r="C96" s="23" t="s">
        <v>282</v>
      </c>
      <c r="D96" s="25"/>
      <c r="E96" s="10"/>
      <c r="F96" s="27">
        <f>Source!AO36</f>
        <v>107.79</v>
      </c>
      <c r="G96" s="26" t="str">
        <f>Source!DG36</f>
        <v/>
      </c>
      <c r="H96" s="10">
        <f>Source!AV36</f>
        <v>1</v>
      </c>
      <c r="I96" s="28">
        <f>ROUND((ROUND((Source!AF36*Source!AV36*Source!I36),2)),2)</f>
        <v>606.21</v>
      </c>
      <c r="J96" s="10">
        <f>IF(Source!BA36&lt;&gt; 0, Source!BA36, 1)</f>
        <v>24.82</v>
      </c>
      <c r="K96" s="28">
        <f>Source!S36</f>
        <v>15046.13</v>
      </c>
      <c r="W96">
        <f>I96</f>
        <v>606.21</v>
      </c>
    </row>
    <row r="97" spans="1:27" ht="14.4">
      <c r="A97" s="22"/>
      <c r="B97" s="23"/>
      <c r="C97" s="23" t="s">
        <v>283</v>
      </c>
      <c r="D97" s="25"/>
      <c r="E97" s="10"/>
      <c r="F97" s="27">
        <f>Source!AM36</f>
        <v>60.22</v>
      </c>
      <c r="G97" s="26" t="str">
        <f>Source!DE36</f>
        <v/>
      </c>
      <c r="H97" s="10">
        <f>Source!AV36</f>
        <v>1</v>
      </c>
      <c r="I97" s="28">
        <f>(ROUND((ROUND(((Source!ET36)*Source!AV36*Source!I36),2)),2)+ROUND((ROUND(((Source!AE36-(Source!EU36))*Source!AV36*Source!I36),2)),2))</f>
        <v>338.68</v>
      </c>
      <c r="J97" s="10">
        <f>IF(Source!BB36&lt;&gt; 0, Source!BB36, 1)</f>
        <v>8.32</v>
      </c>
      <c r="K97" s="28">
        <f>Source!Q36</f>
        <v>2817.82</v>
      </c>
    </row>
    <row r="98" spans="1:27" ht="14.4">
      <c r="A98" s="22"/>
      <c r="B98" s="23"/>
      <c r="C98" s="23" t="s">
        <v>284</v>
      </c>
      <c r="D98" s="25"/>
      <c r="E98" s="10"/>
      <c r="F98" s="27">
        <f>Source!AN36</f>
        <v>16.22</v>
      </c>
      <c r="G98" s="26" t="str">
        <f>Source!DF36</f>
        <v/>
      </c>
      <c r="H98" s="10">
        <f>Source!AV36</f>
        <v>1</v>
      </c>
      <c r="I98" s="30">
        <f>ROUND((ROUND((Source!AE36*Source!AV36*Source!I36),2)),2)</f>
        <v>91.22</v>
      </c>
      <c r="J98" s="10">
        <f>IF(Source!BS36&lt;&gt; 0, Source!BS36, 1)</f>
        <v>24.82</v>
      </c>
      <c r="K98" s="30">
        <f>Source!R36</f>
        <v>2264.08</v>
      </c>
      <c r="W98">
        <f>I98</f>
        <v>91.22</v>
      </c>
    </row>
    <row r="99" spans="1:27" ht="14.4">
      <c r="A99" s="22"/>
      <c r="B99" s="23"/>
      <c r="C99" s="23" t="s">
        <v>291</v>
      </c>
      <c r="D99" s="25"/>
      <c r="E99" s="10"/>
      <c r="F99" s="27">
        <f>Source!AL36</f>
        <v>210.11</v>
      </c>
      <c r="G99" s="26" t="str">
        <f>Source!DD36</f>
        <v/>
      </c>
      <c r="H99" s="10">
        <f>Source!AW36</f>
        <v>1</v>
      </c>
      <c r="I99" s="28">
        <f>ROUND((ROUND((Source!AC36*Source!AW36*Source!I36),2)),2)</f>
        <v>1181.6600000000001</v>
      </c>
      <c r="J99" s="10">
        <f>IF(Source!BC36&lt;&gt; 0, Source!BC36, 1)</f>
        <v>6.41</v>
      </c>
      <c r="K99" s="28">
        <f>Source!P36</f>
        <v>7574.44</v>
      </c>
    </row>
    <row r="100" spans="1:27" ht="27.6">
      <c r="A100" s="22" t="str">
        <f>Source!E37</f>
        <v>7,1</v>
      </c>
      <c r="B100" s="23" t="str">
        <f>Source!F37</f>
        <v>1.3-3-51</v>
      </c>
      <c r="C100" s="23" t="s">
        <v>66</v>
      </c>
      <c r="D100" s="25" t="str">
        <f>Source!H37</f>
        <v>т</v>
      </c>
      <c r="E100" s="10">
        <f>Source!I37</f>
        <v>62.671044000000002</v>
      </c>
      <c r="F100" s="27">
        <f>Source!AK37</f>
        <v>317.95999999999998</v>
      </c>
      <c r="G100" s="33" t="s">
        <v>3</v>
      </c>
      <c r="H100" s="10">
        <f>Source!AW37</f>
        <v>1</v>
      </c>
      <c r="I100" s="28">
        <f>ROUND((ROUND((Source!AC37*Source!AW37*Source!I37),2)),2)+(ROUND((ROUND(((Source!ET37)*Source!AV37*Source!I37),2)),2)+ROUND((ROUND(((Source!AE37-(Source!EU37))*Source!AV37*Source!I37),2)),2))+ROUND((ROUND((Source!AF37*Source!AV37*Source!I37),2)),2)</f>
        <v>19926.89</v>
      </c>
      <c r="J100" s="10">
        <f>IF(Source!BC37&lt;&gt; 0, Source!BC37, 1)</f>
        <v>8.25</v>
      </c>
      <c r="K100" s="28">
        <f>Source!O37</f>
        <v>164396.84</v>
      </c>
      <c r="Q100">
        <f>ROUND((Source!DN37/100)*ROUND((ROUND((Source!AF37*Source!AV37*Source!I37),2)),2), 2)</f>
        <v>0</v>
      </c>
      <c r="R100">
        <f>Source!X37</f>
        <v>0</v>
      </c>
      <c r="S100">
        <f>ROUND((Source!DO37/100)*ROUND((ROUND((Source!AF37*Source!AV37*Source!I37),2)),2), 2)</f>
        <v>0</v>
      </c>
      <c r="T100">
        <f>Source!Y37</f>
        <v>0</v>
      </c>
      <c r="U100">
        <f>ROUND((175/100)*ROUND((ROUND((Source!AE37*Source!AV37*Source!I37),2)),2), 2)</f>
        <v>0</v>
      </c>
      <c r="V100">
        <f>ROUND((157/100)*ROUND(ROUND((ROUND((Source!AE37*Source!AV37*Source!I37),2)*Source!BS37),2), 2), 2)</f>
        <v>0</v>
      </c>
      <c r="X100">
        <f>IF(Source!BI37&lt;=1,I100, 0)</f>
        <v>19926.89</v>
      </c>
      <c r="Y100">
        <f>IF(Source!BI37=2,I100, 0)</f>
        <v>0</v>
      </c>
      <c r="Z100">
        <f>IF(Source!BI37=3,I100, 0)</f>
        <v>0</v>
      </c>
      <c r="AA100">
        <f>IF(Source!BI37=4,I100, 0)</f>
        <v>0</v>
      </c>
    </row>
    <row r="101" spans="1:27" ht="14.4">
      <c r="A101" s="22"/>
      <c r="B101" s="23"/>
      <c r="C101" s="23" t="s">
        <v>285</v>
      </c>
      <c r="D101" s="25" t="s">
        <v>286</v>
      </c>
      <c r="E101" s="10">
        <f>Source!DN36</f>
        <v>134</v>
      </c>
      <c r="F101" s="27"/>
      <c r="G101" s="26"/>
      <c r="H101" s="10"/>
      <c r="I101" s="28">
        <f>SUM(Q94:Q100)</f>
        <v>812.32</v>
      </c>
      <c r="J101" s="10">
        <f>Source!BZ36</f>
        <v>106</v>
      </c>
      <c r="K101" s="28">
        <f>SUM(R94:R100)</f>
        <v>15948.9</v>
      </c>
    </row>
    <row r="102" spans="1:27" ht="14.4">
      <c r="A102" s="22"/>
      <c r="B102" s="23"/>
      <c r="C102" s="23" t="s">
        <v>287</v>
      </c>
      <c r="D102" s="25" t="s">
        <v>286</v>
      </c>
      <c r="E102" s="10">
        <f>Source!DO36</f>
        <v>83</v>
      </c>
      <c r="F102" s="27"/>
      <c r="G102" s="26"/>
      <c r="H102" s="10"/>
      <c r="I102" s="28">
        <f>SUM(S94:S101)</f>
        <v>503.15</v>
      </c>
      <c r="J102" s="10">
        <f>Source!CA36</f>
        <v>41</v>
      </c>
      <c r="K102" s="28">
        <f>SUM(T94:T101)</f>
        <v>6168.91</v>
      </c>
    </row>
    <row r="103" spans="1:27" ht="14.4">
      <c r="A103" s="22"/>
      <c r="B103" s="23"/>
      <c r="C103" s="23" t="s">
        <v>288</v>
      </c>
      <c r="D103" s="25" t="s">
        <v>286</v>
      </c>
      <c r="E103" s="10">
        <f>175</f>
        <v>175</v>
      </c>
      <c r="F103" s="27"/>
      <c r="G103" s="26"/>
      <c r="H103" s="10"/>
      <c r="I103" s="28">
        <f>SUM(U94:U102)</f>
        <v>159.63999999999999</v>
      </c>
      <c r="J103" s="10">
        <f>157</f>
        <v>157</v>
      </c>
      <c r="K103" s="28">
        <f>SUM(V94:V102)</f>
        <v>3554.61</v>
      </c>
    </row>
    <row r="104" spans="1:27" ht="14.4">
      <c r="A104" s="22"/>
      <c r="B104" s="23"/>
      <c r="C104" s="23" t="s">
        <v>289</v>
      </c>
      <c r="D104" s="25" t="s">
        <v>290</v>
      </c>
      <c r="E104" s="10">
        <f>Source!AQ36</f>
        <v>8.9600000000000009</v>
      </c>
      <c r="F104" s="27"/>
      <c r="G104" s="26" t="str">
        <f>Source!DI36</f>
        <v/>
      </c>
      <c r="H104" s="10">
        <f>Source!AV36</f>
        <v>1</v>
      </c>
      <c r="I104" s="28">
        <f>Source!U36</f>
        <v>50.391040000000004</v>
      </c>
      <c r="J104" s="10"/>
      <c r="K104" s="28"/>
    </row>
    <row r="105" spans="1:27" ht="13.8">
      <c r="A105" s="32"/>
      <c r="B105" s="32"/>
      <c r="C105" s="32"/>
      <c r="D105" s="32"/>
      <c r="E105" s="32"/>
      <c r="F105" s="32"/>
      <c r="G105" s="32"/>
      <c r="H105" s="85">
        <f>I96+I97+I99+I101+I102+I103+SUM(I100:I100)</f>
        <v>23528.55</v>
      </c>
      <c r="I105" s="85"/>
      <c r="J105" s="85">
        <f>K96+K97+K99+K101+K102+K103+SUM(K100:K100)</f>
        <v>215507.65</v>
      </c>
      <c r="K105" s="85"/>
      <c r="O105" s="31">
        <f>I96+I97+I99+I101+I102+I103+SUM(I100:I100)</f>
        <v>23528.55</v>
      </c>
      <c r="P105" s="31">
        <f>K96+K97+K99+K101+K102+K103+SUM(K100:K100)</f>
        <v>215507.65</v>
      </c>
      <c r="X105">
        <f>IF(Source!BI36&lt;=1,I96+I97+I99+I101+I102+I103-0, 0)</f>
        <v>3601.6600000000003</v>
      </c>
      <c r="Y105">
        <f>IF(Source!BI36=2,I96+I97+I99+I101+I102+I103-0, 0)</f>
        <v>0</v>
      </c>
      <c r="Z105">
        <f>IF(Source!BI36=3,I96+I97+I99+I101+I102+I103-0, 0)</f>
        <v>0</v>
      </c>
      <c r="AA105">
        <f>IF(Source!BI36=4,I96+I97+I99+I101+I102+I103,0)</f>
        <v>0</v>
      </c>
    </row>
    <row r="107" spans="1:27" ht="13.8">
      <c r="A107" s="84" t="str">
        <f>CONCATENATE("Итого по разделу: ",IF(Source!G39&lt;&gt;"Новый раздел", Source!G39, ""))</f>
        <v>Итого по разделу: 10.1. Устройство новых оснований площадок (Корт)</v>
      </c>
      <c r="B107" s="84"/>
      <c r="C107" s="84"/>
      <c r="D107" s="84"/>
      <c r="E107" s="84"/>
      <c r="F107" s="84"/>
      <c r="G107" s="84"/>
      <c r="H107" s="82">
        <f>SUM(O35:O106)</f>
        <v>66459.520000000004</v>
      </c>
      <c r="I107" s="83"/>
      <c r="J107" s="82">
        <f>SUM(P35:P106)</f>
        <v>641287.38</v>
      </c>
      <c r="K107" s="83"/>
    </row>
    <row r="108" spans="1:27" hidden="1">
      <c r="A108" t="s">
        <v>292</v>
      </c>
      <c r="I108">
        <f>SUM(AC35:AC107)</f>
        <v>0</v>
      </c>
      <c r="J108">
        <f>SUM(AD35:AD107)</f>
        <v>0</v>
      </c>
    </row>
    <row r="109" spans="1:27" hidden="1">
      <c r="A109" t="s">
        <v>293</v>
      </c>
      <c r="I109">
        <f>SUM(AE35:AE108)</f>
        <v>0</v>
      </c>
      <c r="J109">
        <f>SUM(AF35:AF108)</f>
        <v>0</v>
      </c>
    </row>
    <row r="111" spans="1:27" ht="16.8">
      <c r="A111" s="86" t="str">
        <f>CONCATENATE("Раздел: ",IF(Source!G69&lt;&gt;"Новый раздел", Source!G69, ""))</f>
        <v>Раздел: 27.1 Плиточное покрытие</v>
      </c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1:27" ht="55.2">
      <c r="A112" s="22" t="str">
        <f>Source!E73</f>
        <v>8</v>
      </c>
      <c r="B112" s="23" t="str">
        <f>Source!F73</f>
        <v>3.1-6-10</v>
      </c>
      <c r="C112" s="23" t="s">
        <v>17</v>
      </c>
      <c r="D112" s="25" t="str">
        <f>Source!H73</f>
        <v>100 м3 грунта</v>
      </c>
      <c r="E112" s="10">
        <f>Source!I73</f>
        <v>0.30186000000000002</v>
      </c>
      <c r="F112" s="27"/>
      <c r="G112" s="26"/>
      <c r="H112" s="10"/>
      <c r="I112" s="28"/>
      <c r="J112" s="10"/>
      <c r="K112" s="28"/>
      <c r="Q112">
        <f>ROUND((Source!DN73/100)*ROUND((ROUND((Source!AF73*Source!AV73*Source!I73),2)),2), 2)</f>
        <v>4.17</v>
      </c>
      <c r="R112">
        <f>Source!X73</f>
        <v>97.27</v>
      </c>
      <c r="S112">
        <f>ROUND((Source!DO73/100)*ROUND((ROUND((Source!AF73*Source!AV73*Source!I73),2)),2), 2)</f>
        <v>3.28</v>
      </c>
      <c r="T112">
        <f>Source!Y73</f>
        <v>52.87</v>
      </c>
      <c r="U112">
        <f>ROUND((175/100)*ROUND((ROUND((Source!AE73*Source!AV73*Source!I73),2)),2), 2)</f>
        <v>74.22</v>
      </c>
      <c r="V112">
        <f>ROUND((157/100)*ROUND(ROUND((ROUND((Source!AE73*Source!AV73*Source!I73),2)*Source!BS73),2), 2), 2)</f>
        <v>1652.61</v>
      </c>
    </row>
    <row r="113" spans="1:27">
      <c r="C113" s="29" t="str">
        <f>"Объем: "&amp;Source!I73&amp;"=78*"&amp;"0,43*"&amp;"0,9/"&amp;"100"</f>
        <v>Объем: 0,30186=78*0,43*0,9/100</v>
      </c>
    </row>
    <row r="114" spans="1:27" ht="14.4">
      <c r="A114" s="22"/>
      <c r="B114" s="23"/>
      <c r="C114" s="23" t="s">
        <v>282</v>
      </c>
      <c r="D114" s="25"/>
      <c r="E114" s="10"/>
      <c r="F114" s="27">
        <f>Source!AO73</f>
        <v>14.1</v>
      </c>
      <c r="G114" s="26" t="str">
        <f>Source!DG73</f>
        <v/>
      </c>
      <c r="H114" s="10">
        <f>Source!AV73</f>
        <v>1</v>
      </c>
      <c r="I114" s="28">
        <f>ROUND((ROUND((Source!AF73*Source!AV73*Source!I73),2)),2)</f>
        <v>4.26</v>
      </c>
      <c r="J114" s="10">
        <f>IF(Source!BA73&lt;&gt; 0, Source!BA73, 1)</f>
        <v>24.82</v>
      </c>
      <c r="K114" s="28">
        <f>Source!S73</f>
        <v>105.73</v>
      </c>
      <c r="W114">
        <f>I114</f>
        <v>4.26</v>
      </c>
    </row>
    <row r="115" spans="1:27" ht="14.4">
      <c r="A115" s="22"/>
      <c r="B115" s="23"/>
      <c r="C115" s="23" t="s">
        <v>283</v>
      </c>
      <c r="D115" s="25"/>
      <c r="E115" s="10"/>
      <c r="F115" s="27">
        <f>Source!AM73</f>
        <v>757.55</v>
      </c>
      <c r="G115" s="26" t="str">
        <f>Source!DE73</f>
        <v/>
      </c>
      <c r="H115" s="10">
        <f>Source!AV73</f>
        <v>1</v>
      </c>
      <c r="I115" s="28">
        <f>(ROUND((ROUND(((Source!ET73)*Source!AV73*Source!I73),2)),2)+ROUND((ROUND(((Source!AE73-(Source!EU73))*Source!AV73*Source!I73),2)),2))</f>
        <v>228.67</v>
      </c>
      <c r="J115" s="10">
        <f>IF(Source!BB73&lt;&gt; 0, Source!BB73, 1)</f>
        <v>9.7799999999999994</v>
      </c>
      <c r="K115" s="28">
        <f>Source!Q73</f>
        <v>2236.39</v>
      </c>
    </row>
    <row r="116" spans="1:27" ht="14.4">
      <c r="A116" s="22"/>
      <c r="B116" s="23"/>
      <c r="C116" s="23" t="s">
        <v>284</v>
      </c>
      <c r="D116" s="25"/>
      <c r="E116" s="10"/>
      <c r="F116" s="27">
        <f>Source!AN73</f>
        <v>140.47999999999999</v>
      </c>
      <c r="G116" s="26" t="str">
        <f>Source!DF73</f>
        <v/>
      </c>
      <c r="H116" s="10">
        <f>Source!AV73</f>
        <v>1</v>
      </c>
      <c r="I116" s="30">
        <f>ROUND((ROUND((Source!AE73*Source!AV73*Source!I73),2)),2)</f>
        <v>42.41</v>
      </c>
      <c r="J116" s="10">
        <f>IF(Source!BS73&lt;&gt; 0, Source!BS73, 1)</f>
        <v>24.82</v>
      </c>
      <c r="K116" s="30">
        <f>Source!R73</f>
        <v>1052.6199999999999</v>
      </c>
      <c r="W116">
        <f>I116</f>
        <v>42.41</v>
      </c>
    </row>
    <row r="117" spans="1:27" ht="14.4">
      <c r="A117" s="22"/>
      <c r="B117" s="23"/>
      <c r="C117" s="23" t="s">
        <v>285</v>
      </c>
      <c r="D117" s="25" t="s">
        <v>286</v>
      </c>
      <c r="E117" s="10">
        <f>Source!DN73</f>
        <v>98</v>
      </c>
      <c r="F117" s="27"/>
      <c r="G117" s="26"/>
      <c r="H117" s="10"/>
      <c r="I117" s="28">
        <f>SUM(Q112:Q116)</f>
        <v>4.17</v>
      </c>
      <c r="J117" s="10">
        <f>Source!BZ73</f>
        <v>92</v>
      </c>
      <c r="K117" s="28">
        <f>SUM(R112:R116)</f>
        <v>97.27</v>
      </c>
    </row>
    <row r="118" spans="1:27" ht="14.4">
      <c r="A118" s="22"/>
      <c r="B118" s="23"/>
      <c r="C118" s="23" t="s">
        <v>287</v>
      </c>
      <c r="D118" s="25" t="s">
        <v>286</v>
      </c>
      <c r="E118" s="10">
        <f>Source!DO73</f>
        <v>77</v>
      </c>
      <c r="F118" s="27"/>
      <c r="G118" s="26"/>
      <c r="H118" s="10"/>
      <c r="I118" s="28">
        <f>SUM(S112:S117)</f>
        <v>3.28</v>
      </c>
      <c r="J118" s="10">
        <f>Source!CA73</f>
        <v>50</v>
      </c>
      <c r="K118" s="28">
        <f>SUM(T112:T117)</f>
        <v>52.87</v>
      </c>
    </row>
    <row r="119" spans="1:27" ht="14.4">
      <c r="A119" s="22"/>
      <c r="B119" s="23"/>
      <c r="C119" s="23" t="s">
        <v>288</v>
      </c>
      <c r="D119" s="25" t="s">
        <v>286</v>
      </c>
      <c r="E119" s="10">
        <f>175</f>
        <v>175</v>
      </c>
      <c r="F119" s="27"/>
      <c r="G119" s="26"/>
      <c r="H119" s="10"/>
      <c r="I119" s="28">
        <f>SUM(U112:U118)</f>
        <v>74.22</v>
      </c>
      <c r="J119" s="10">
        <f>157</f>
        <v>157</v>
      </c>
      <c r="K119" s="28">
        <f>SUM(V112:V118)</f>
        <v>1652.61</v>
      </c>
    </row>
    <row r="120" spans="1:27" ht="14.4">
      <c r="A120" s="22"/>
      <c r="B120" s="23"/>
      <c r="C120" s="23" t="s">
        <v>289</v>
      </c>
      <c r="D120" s="25" t="s">
        <v>290</v>
      </c>
      <c r="E120" s="10">
        <f>Source!AQ73</f>
        <v>1.38</v>
      </c>
      <c r="F120" s="27"/>
      <c r="G120" s="26" t="str">
        <f>Source!DI73</f>
        <v/>
      </c>
      <c r="H120" s="10">
        <f>Source!AV73</f>
        <v>1</v>
      </c>
      <c r="I120" s="28">
        <f>Source!U73</f>
        <v>0.41656680000000001</v>
      </c>
      <c r="J120" s="10"/>
      <c r="K120" s="28"/>
    </row>
    <row r="121" spans="1:27" ht="13.8">
      <c r="A121" s="32"/>
      <c r="B121" s="32"/>
      <c r="C121" s="32"/>
      <c r="D121" s="32"/>
      <c r="E121" s="32"/>
      <c r="F121" s="32"/>
      <c r="G121" s="32"/>
      <c r="H121" s="85">
        <f>I114+I115+I117+I118+I119</f>
        <v>314.59999999999997</v>
      </c>
      <c r="I121" s="85"/>
      <c r="J121" s="85">
        <f>K114+K115+K117+K118+K119</f>
        <v>4144.87</v>
      </c>
      <c r="K121" s="85"/>
      <c r="O121" s="31">
        <f>I114+I115+I117+I118+I119</f>
        <v>314.59999999999997</v>
      </c>
      <c r="P121" s="31">
        <f>K114+K115+K117+K118+K119</f>
        <v>4144.87</v>
      </c>
      <c r="X121">
        <f>IF(Source!BI73&lt;=1,I114+I115+I117+I118+I119-0, 0)</f>
        <v>314.59999999999997</v>
      </c>
      <c r="Y121">
        <f>IF(Source!BI73=2,I114+I115+I117+I118+I119-0, 0)</f>
        <v>0</v>
      </c>
      <c r="Z121">
        <f>IF(Source!BI73=3,I114+I115+I117+I118+I119-0, 0)</f>
        <v>0</v>
      </c>
      <c r="AA121">
        <f>IF(Source!BI73=4,I114+I115+I117+I118+I119,0)</f>
        <v>0</v>
      </c>
    </row>
    <row r="122" spans="1:27" ht="41.4">
      <c r="A122" s="22" t="str">
        <f>Source!E74</f>
        <v>9</v>
      </c>
      <c r="B122" s="23" t="str">
        <f>Source!F74</f>
        <v>3.1-51-1</v>
      </c>
      <c r="C122" s="23" t="s">
        <v>25</v>
      </c>
      <c r="D122" s="25" t="str">
        <f>Source!H74</f>
        <v>100 м3 грунта</v>
      </c>
      <c r="E122" s="10">
        <f>Source!I74</f>
        <v>3.354E-2</v>
      </c>
      <c r="F122" s="27"/>
      <c r="G122" s="26"/>
      <c r="H122" s="10"/>
      <c r="I122" s="28"/>
      <c r="J122" s="10"/>
      <c r="K122" s="28"/>
      <c r="Q122">
        <f>ROUND((Source!DN74/100)*ROUND((ROUND((Source!AF74*Source!AV74*Source!I74),2)),2), 2)</f>
        <v>71.94</v>
      </c>
      <c r="R122">
        <f>Source!X74</f>
        <v>1445.36</v>
      </c>
      <c r="S122">
        <f>ROUND((Source!DO74/100)*ROUND((ROUND((Source!AF74*Source!AV74*Source!I74),2)),2), 2)</f>
        <v>52.75</v>
      </c>
      <c r="T122">
        <f>Source!Y74</f>
        <v>697.17</v>
      </c>
      <c r="U122">
        <f>ROUND((175/100)*ROUND((ROUND((Source!AE74*Source!AV74*Source!I74),2)),2), 2)</f>
        <v>0</v>
      </c>
      <c r="V122">
        <f>ROUND((157/100)*ROUND(ROUND((ROUND((Source!AE74*Source!AV74*Source!I74),2)*Source!BS74),2), 2), 2)</f>
        <v>0</v>
      </c>
    </row>
    <row r="123" spans="1:27">
      <c r="C123" s="29" t="str">
        <f>"Объем: "&amp;Source!I74&amp;"=78*"&amp;"0,43*"&amp;"0,1/"&amp;"100"</f>
        <v>Объем: 0,03354=78*0,43*0,1/100</v>
      </c>
    </row>
    <row r="124" spans="1:27" ht="14.4">
      <c r="A124" s="22"/>
      <c r="B124" s="23"/>
      <c r="C124" s="23" t="s">
        <v>282</v>
      </c>
      <c r="D124" s="25"/>
      <c r="E124" s="10"/>
      <c r="F124" s="27">
        <f>Source!AO74</f>
        <v>2042.62</v>
      </c>
      <c r="G124" s="26" t="str">
        <f>Source!DG74</f>
        <v/>
      </c>
      <c r="H124" s="10">
        <f>Source!AV74</f>
        <v>1</v>
      </c>
      <c r="I124" s="28">
        <f>ROUND((ROUND((Source!AF74*Source!AV74*Source!I74),2)),2)</f>
        <v>68.510000000000005</v>
      </c>
      <c r="J124" s="10">
        <f>IF(Source!BA74&lt;&gt; 0, Source!BA74, 1)</f>
        <v>24.82</v>
      </c>
      <c r="K124" s="28">
        <f>Source!S74</f>
        <v>1700.42</v>
      </c>
      <c r="W124">
        <f>I124</f>
        <v>68.510000000000005</v>
      </c>
    </row>
    <row r="125" spans="1:27" ht="14.4">
      <c r="A125" s="22"/>
      <c r="B125" s="23"/>
      <c r="C125" s="23" t="s">
        <v>285</v>
      </c>
      <c r="D125" s="25" t="s">
        <v>286</v>
      </c>
      <c r="E125" s="10">
        <f>Source!DN74</f>
        <v>105</v>
      </c>
      <c r="F125" s="27"/>
      <c r="G125" s="26"/>
      <c r="H125" s="10"/>
      <c r="I125" s="28">
        <f>SUM(Q122:Q124)</f>
        <v>71.94</v>
      </c>
      <c r="J125" s="10">
        <f>Source!BZ74</f>
        <v>85</v>
      </c>
      <c r="K125" s="28">
        <f>SUM(R122:R124)</f>
        <v>1445.36</v>
      </c>
    </row>
    <row r="126" spans="1:27" ht="14.4">
      <c r="A126" s="22"/>
      <c r="B126" s="23"/>
      <c r="C126" s="23" t="s">
        <v>287</v>
      </c>
      <c r="D126" s="25" t="s">
        <v>286</v>
      </c>
      <c r="E126" s="10">
        <f>Source!DO74</f>
        <v>77</v>
      </c>
      <c r="F126" s="27"/>
      <c r="G126" s="26"/>
      <c r="H126" s="10"/>
      <c r="I126" s="28">
        <f>SUM(S122:S125)</f>
        <v>52.75</v>
      </c>
      <c r="J126" s="10">
        <f>Source!CA74</f>
        <v>41</v>
      </c>
      <c r="K126" s="28">
        <f>SUM(T122:T125)</f>
        <v>697.17</v>
      </c>
    </row>
    <row r="127" spans="1:27" ht="14.4">
      <c r="A127" s="22"/>
      <c r="B127" s="23"/>
      <c r="C127" s="23" t="s">
        <v>289</v>
      </c>
      <c r="D127" s="25" t="s">
        <v>290</v>
      </c>
      <c r="E127" s="10">
        <f>Source!AQ74</f>
        <v>192.7</v>
      </c>
      <c r="F127" s="27"/>
      <c r="G127" s="26" t="str">
        <f>Source!DI74</f>
        <v/>
      </c>
      <c r="H127" s="10">
        <f>Source!AV74</f>
        <v>1</v>
      </c>
      <c r="I127" s="28">
        <f>Source!U74</f>
        <v>6.463158</v>
      </c>
      <c r="J127" s="10"/>
      <c r="K127" s="28"/>
    </row>
    <row r="128" spans="1:27" ht="13.8">
      <c r="A128" s="32"/>
      <c r="B128" s="32"/>
      <c r="C128" s="32"/>
      <c r="D128" s="32"/>
      <c r="E128" s="32"/>
      <c r="F128" s="32"/>
      <c r="G128" s="32"/>
      <c r="H128" s="85">
        <f>I124+I125+I126</f>
        <v>193.2</v>
      </c>
      <c r="I128" s="85"/>
      <c r="J128" s="85">
        <f>K124+K125+K126</f>
        <v>3842.95</v>
      </c>
      <c r="K128" s="85"/>
      <c r="O128" s="31">
        <f>I124+I125+I126</f>
        <v>193.2</v>
      </c>
      <c r="P128" s="31">
        <f>K124+K125+K126</f>
        <v>3842.95</v>
      </c>
      <c r="X128">
        <f>IF(Source!BI74&lt;=1,I124+I125+I126-0, 0)</f>
        <v>193.2</v>
      </c>
      <c r="Y128">
        <f>IF(Source!BI74=2,I124+I125+I126-0, 0)</f>
        <v>0</v>
      </c>
      <c r="Z128">
        <f>IF(Source!BI74=3,I124+I125+I126-0, 0)</f>
        <v>0</v>
      </c>
      <c r="AA128">
        <f>IF(Source!BI74=4,I124+I125+I126,0)</f>
        <v>0</v>
      </c>
    </row>
    <row r="129" spans="1:27" ht="28.8">
      <c r="A129" s="22" t="str">
        <f>Source!E75</f>
        <v>10</v>
      </c>
      <c r="B129" s="23" t="str">
        <f>Source!F75</f>
        <v>6.51-6-1</v>
      </c>
      <c r="C129" s="23" t="s">
        <v>32</v>
      </c>
      <c r="D129" s="25" t="str">
        <f>Source!H75</f>
        <v>100 м3 грунта</v>
      </c>
      <c r="E129" s="10">
        <f>Source!I75</f>
        <v>3.354E-2</v>
      </c>
      <c r="F129" s="27"/>
      <c r="G129" s="26"/>
      <c r="H129" s="10"/>
      <c r="I129" s="28"/>
      <c r="J129" s="10"/>
      <c r="K129" s="28"/>
      <c r="Q129">
        <f>ROUND((Source!DN75/100)*ROUND((ROUND((Source!AF75*Source!AV75*Source!I75),2)),2), 2)</f>
        <v>24.27</v>
      </c>
      <c r="R129">
        <f>Source!X75</f>
        <v>483.22</v>
      </c>
      <c r="S129">
        <f>ROUND((Source!DO75/100)*ROUND((ROUND((Source!AF75*Source!AV75*Source!I75),2)),2), 2)</f>
        <v>17.87</v>
      </c>
      <c r="T129">
        <f>Source!Y75</f>
        <v>271.39999999999998</v>
      </c>
      <c r="U129">
        <f>ROUND((175/100)*ROUND((ROUND((Source!AE75*Source!AV75*Source!I75),2)),2), 2)</f>
        <v>0</v>
      </c>
      <c r="V129">
        <f>ROUND((157/100)*ROUND(ROUND((ROUND((Source!AE75*Source!AV75*Source!I75),2)*Source!BS75),2), 2), 2)</f>
        <v>0</v>
      </c>
    </row>
    <row r="130" spans="1:27">
      <c r="C130" s="29" t="str">
        <f>"Объем: "&amp;Source!I75&amp;"=("&amp;Source!I74&amp;"*"&amp;"100)/"&amp;"100"</f>
        <v>Объем: 0,03354=(0,03354*100)/100</v>
      </c>
    </row>
    <row r="131" spans="1:27" ht="14.4">
      <c r="A131" s="22"/>
      <c r="B131" s="23"/>
      <c r="C131" s="23" t="s">
        <v>282</v>
      </c>
      <c r="D131" s="25"/>
      <c r="E131" s="10"/>
      <c r="F131" s="27">
        <f>Source!AO75</f>
        <v>795.14</v>
      </c>
      <c r="G131" s="26" t="str">
        <f>Source!DG75</f>
        <v/>
      </c>
      <c r="H131" s="10">
        <f>Source!AV75</f>
        <v>1</v>
      </c>
      <c r="I131" s="28">
        <f>ROUND((ROUND((Source!AF75*Source!AV75*Source!I75),2)),2)</f>
        <v>26.67</v>
      </c>
      <c r="J131" s="10">
        <f>IF(Source!BA75&lt;&gt; 0, Source!BA75, 1)</f>
        <v>24.82</v>
      </c>
      <c r="K131" s="28">
        <f>Source!S75</f>
        <v>661.95</v>
      </c>
      <c r="W131">
        <f>I131</f>
        <v>26.67</v>
      </c>
    </row>
    <row r="132" spans="1:27" ht="14.4">
      <c r="A132" s="22"/>
      <c r="B132" s="23"/>
      <c r="C132" s="23" t="s">
        <v>285</v>
      </c>
      <c r="D132" s="25" t="s">
        <v>286</v>
      </c>
      <c r="E132" s="10">
        <f>Source!DN75</f>
        <v>91</v>
      </c>
      <c r="F132" s="27"/>
      <c r="G132" s="26"/>
      <c r="H132" s="10"/>
      <c r="I132" s="28">
        <f>SUM(Q129:Q131)</f>
        <v>24.27</v>
      </c>
      <c r="J132" s="10">
        <f>Source!BZ75</f>
        <v>73</v>
      </c>
      <c r="K132" s="28">
        <f>SUM(R129:R131)</f>
        <v>483.22</v>
      </c>
    </row>
    <row r="133" spans="1:27" ht="14.4">
      <c r="A133" s="22"/>
      <c r="B133" s="23"/>
      <c r="C133" s="23" t="s">
        <v>287</v>
      </c>
      <c r="D133" s="25" t="s">
        <v>286</v>
      </c>
      <c r="E133" s="10">
        <f>Source!DO75</f>
        <v>67</v>
      </c>
      <c r="F133" s="27"/>
      <c r="G133" s="26"/>
      <c r="H133" s="10"/>
      <c r="I133" s="28">
        <f>SUM(S129:S132)</f>
        <v>17.87</v>
      </c>
      <c r="J133" s="10">
        <f>Source!CA75</f>
        <v>41</v>
      </c>
      <c r="K133" s="28">
        <f>SUM(T129:T132)</f>
        <v>271.39999999999998</v>
      </c>
    </row>
    <row r="134" spans="1:27" ht="14.4">
      <c r="A134" s="22"/>
      <c r="B134" s="23"/>
      <c r="C134" s="23" t="s">
        <v>289</v>
      </c>
      <c r="D134" s="25" t="s">
        <v>290</v>
      </c>
      <c r="E134" s="10">
        <f>Source!AQ75</f>
        <v>83</v>
      </c>
      <c r="F134" s="27"/>
      <c r="G134" s="26" t="str">
        <f>Source!DI75</f>
        <v/>
      </c>
      <c r="H134" s="10">
        <f>Source!AV75</f>
        <v>1</v>
      </c>
      <c r="I134" s="28">
        <f>Source!U75</f>
        <v>2.78382</v>
      </c>
      <c r="J134" s="10"/>
      <c r="K134" s="28"/>
    </row>
    <row r="135" spans="1:27" ht="13.8">
      <c r="A135" s="32"/>
      <c r="B135" s="32"/>
      <c r="C135" s="32"/>
      <c r="D135" s="32"/>
      <c r="E135" s="32"/>
      <c r="F135" s="32"/>
      <c r="G135" s="32"/>
      <c r="H135" s="85">
        <f>I131+I132+I133</f>
        <v>68.81</v>
      </c>
      <c r="I135" s="85"/>
      <c r="J135" s="85">
        <f>K131+K132+K133</f>
        <v>1416.5700000000002</v>
      </c>
      <c r="K135" s="85"/>
      <c r="O135" s="31">
        <f>I131+I132+I133</f>
        <v>68.81</v>
      </c>
      <c r="P135" s="31">
        <f>K131+K132+K133</f>
        <v>1416.5700000000002</v>
      </c>
      <c r="X135">
        <f>IF(Source!BI75&lt;=1,I131+I132+I133-0, 0)</f>
        <v>68.81</v>
      </c>
      <c r="Y135">
        <f>IF(Source!BI75=2,I131+I132+I133-0, 0)</f>
        <v>0</v>
      </c>
      <c r="Z135">
        <f>IF(Source!BI75=3,I131+I132+I133-0, 0)</f>
        <v>0</v>
      </c>
      <c r="AA135">
        <f>IF(Source!BI75=4,I131+I132+I133,0)</f>
        <v>0</v>
      </c>
    </row>
    <row r="136" spans="1:27" ht="100.8">
      <c r="A136" s="22" t="str">
        <f>Source!E76</f>
        <v>11</v>
      </c>
      <c r="B136" s="23" t="str">
        <f>Source!F76</f>
        <v>3.27-12-1</v>
      </c>
      <c r="C136" s="23" t="s">
        <v>39</v>
      </c>
      <c r="D136" s="25" t="str">
        <f>Source!H76</f>
        <v>100 м3 материала основания (в плотном теле)</v>
      </c>
      <c r="E136" s="10">
        <f>Source!I76</f>
        <v>0.156</v>
      </c>
      <c r="F136" s="27"/>
      <c r="G136" s="26"/>
      <c r="H136" s="10"/>
      <c r="I136" s="28"/>
      <c r="J136" s="10"/>
      <c r="K136" s="28"/>
      <c r="Q136">
        <f>ROUND((Source!DN76/100)*ROUND((ROUND((Source!AF76*Source!AV76*Source!I76),2)),2), 2)</f>
        <v>38.04</v>
      </c>
      <c r="R136">
        <f>Source!X76</f>
        <v>768.32</v>
      </c>
      <c r="S136">
        <f>ROUND((Source!DO76/100)*ROUND((ROUND((Source!AF76*Source!AV76*Source!I76),2)),2), 2)</f>
        <v>25.28</v>
      </c>
      <c r="T136">
        <f>Source!Y76</f>
        <v>316.70999999999998</v>
      </c>
      <c r="U136">
        <f>ROUND((175/100)*ROUND((ROUND((Source!AE76*Source!AV76*Source!I76),2)),2), 2)</f>
        <v>32.5</v>
      </c>
      <c r="V136">
        <f>ROUND((157/100)*ROUND(ROUND((ROUND((Source!AE76*Source!AV76*Source!I76),2)*Source!BS76),2), 2), 2)</f>
        <v>723.63</v>
      </c>
    </row>
    <row r="137" spans="1:27">
      <c r="C137" s="29" t="str">
        <f>"Объем: "&amp;Source!I76&amp;"=78*"&amp;"0,2/"&amp;"100"</f>
        <v>Объем: 0,156=78*0,2/100</v>
      </c>
    </row>
    <row r="138" spans="1:27" ht="14.4">
      <c r="A138" s="22"/>
      <c r="B138" s="23"/>
      <c r="C138" s="23" t="s">
        <v>282</v>
      </c>
      <c r="D138" s="25"/>
      <c r="E138" s="10"/>
      <c r="F138" s="27">
        <f>Source!AO76</f>
        <v>151.49</v>
      </c>
      <c r="G138" s="26" t="str">
        <f>Source!DG76</f>
        <v/>
      </c>
      <c r="H138" s="10">
        <f>Source!AV76</f>
        <v>1</v>
      </c>
      <c r="I138" s="28">
        <f>ROUND((ROUND((Source!AF76*Source!AV76*Source!I76),2)),2)</f>
        <v>23.63</v>
      </c>
      <c r="J138" s="10">
        <f>IF(Source!BA76&lt;&gt; 0, Source!BA76, 1)</f>
        <v>24.82</v>
      </c>
      <c r="K138" s="28">
        <f>Source!S76</f>
        <v>586.5</v>
      </c>
      <c r="W138">
        <f>I138</f>
        <v>23.63</v>
      </c>
    </row>
    <row r="139" spans="1:27" ht="14.4">
      <c r="A139" s="22"/>
      <c r="B139" s="23"/>
      <c r="C139" s="23" t="s">
        <v>283</v>
      </c>
      <c r="D139" s="25"/>
      <c r="E139" s="10"/>
      <c r="F139" s="27">
        <f>Source!AM76</f>
        <v>676.47</v>
      </c>
      <c r="G139" s="26" t="str">
        <f>Source!DE76</f>
        <v/>
      </c>
      <c r="H139" s="10">
        <f>Source!AV76</f>
        <v>1</v>
      </c>
      <c r="I139" s="28">
        <f>(ROUND((ROUND(((Source!ET76)*Source!AV76*Source!I76),2)),2)+ROUND((ROUND(((Source!AE76-(Source!EU76))*Source!AV76*Source!I76),2)),2))</f>
        <v>105.53</v>
      </c>
      <c r="J139" s="10">
        <f>IF(Source!BB76&lt;&gt; 0, Source!BB76, 1)</f>
        <v>9.57</v>
      </c>
      <c r="K139" s="28">
        <f>Source!Q76</f>
        <v>1009.92</v>
      </c>
    </row>
    <row r="140" spans="1:27" ht="14.4">
      <c r="A140" s="22"/>
      <c r="B140" s="23"/>
      <c r="C140" s="23" t="s">
        <v>284</v>
      </c>
      <c r="D140" s="25"/>
      <c r="E140" s="10"/>
      <c r="F140" s="27">
        <f>Source!AN76</f>
        <v>119.05</v>
      </c>
      <c r="G140" s="26" t="str">
        <f>Source!DF76</f>
        <v/>
      </c>
      <c r="H140" s="10">
        <f>Source!AV76</f>
        <v>1</v>
      </c>
      <c r="I140" s="30">
        <f>ROUND((ROUND((Source!AE76*Source!AV76*Source!I76),2)),2)</f>
        <v>18.57</v>
      </c>
      <c r="J140" s="10">
        <f>IF(Source!BS76&lt;&gt; 0, Source!BS76, 1)</f>
        <v>24.82</v>
      </c>
      <c r="K140" s="30">
        <f>Source!R76</f>
        <v>460.91</v>
      </c>
      <c r="W140">
        <f>I140</f>
        <v>18.57</v>
      </c>
    </row>
    <row r="141" spans="1:27" ht="14.4">
      <c r="A141" s="22"/>
      <c r="B141" s="23"/>
      <c r="C141" s="23" t="s">
        <v>291</v>
      </c>
      <c r="D141" s="25"/>
      <c r="E141" s="10"/>
      <c r="F141" s="27">
        <f>Source!AL76</f>
        <v>35.35</v>
      </c>
      <c r="G141" s="26" t="str">
        <f>Source!DD76</f>
        <v/>
      </c>
      <c r="H141" s="10">
        <f>Source!AW76</f>
        <v>1</v>
      </c>
      <c r="I141" s="28">
        <f>ROUND((ROUND((Source!AC76*Source!AW76*Source!I76),2)),2)</f>
        <v>5.51</v>
      </c>
      <c r="J141" s="10">
        <f>IF(Source!BC76&lt;&gt; 0, Source!BC76, 1)</f>
        <v>4.99</v>
      </c>
      <c r="K141" s="28">
        <f>Source!P76</f>
        <v>27.49</v>
      </c>
    </row>
    <row r="142" spans="1:27" ht="14.4">
      <c r="A142" s="22" t="str">
        <f>Source!E77</f>
        <v>11,1</v>
      </c>
      <c r="B142" s="23" t="str">
        <f>Source!F77</f>
        <v>1.1-1-766</v>
      </c>
      <c r="C142" s="23" t="s">
        <v>46</v>
      </c>
      <c r="D142" s="25" t="str">
        <f>Source!H77</f>
        <v>м3</v>
      </c>
      <c r="E142" s="10">
        <f>Source!I77</f>
        <v>17.16</v>
      </c>
      <c r="F142" s="27">
        <f>Source!AK77</f>
        <v>104.99</v>
      </c>
      <c r="G142" s="33" t="s">
        <v>3</v>
      </c>
      <c r="H142" s="10">
        <f>Source!AW77</f>
        <v>1</v>
      </c>
      <c r="I142" s="28">
        <f>ROUND((ROUND((Source!AC77*Source!AW77*Source!I77),2)),2)+(ROUND((ROUND(((Source!ET77)*Source!AV77*Source!I77),2)),2)+ROUND((ROUND(((Source!AE77-(Source!EU77))*Source!AV77*Source!I77),2)),2))+ROUND((ROUND((Source!AF77*Source!AV77*Source!I77),2)),2)</f>
        <v>1801.63</v>
      </c>
      <c r="J142" s="10">
        <f>IF(Source!BC77&lt;&gt; 0, Source!BC77, 1)</f>
        <v>5.26</v>
      </c>
      <c r="K142" s="28">
        <f>Source!O77</f>
        <v>9476.57</v>
      </c>
      <c r="Q142">
        <f>ROUND((Source!DN77/100)*ROUND((ROUND((Source!AF77*Source!AV77*Source!I77),2)),2), 2)</f>
        <v>0</v>
      </c>
      <c r="R142">
        <f>Source!X77</f>
        <v>0</v>
      </c>
      <c r="S142">
        <f>ROUND((Source!DO77/100)*ROUND((ROUND((Source!AF77*Source!AV77*Source!I77),2)),2), 2)</f>
        <v>0</v>
      </c>
      <c r="T142">
        <f>Source!Y77</f>
        <v>0</v>
      </c>
      <c r="U142">
        <f>ROUND((175/100)*ROUND((ROUND((Source!AE77*Source!AV77*Source!I77),2)),2), 2)</f>
        <v>0</v>
      </c>
      <c r="V142">
        <f>ROUND((157/100)*ROUND(ROUND((ROUND((Source!AE77*Source!AV77*Source!I77),2)*Source!BS77),2), 2), 2)</f>
        <v>0</v>
      </c>
      <c r="X142">
        <f>IF(Source!BI77&lt;=1,I142, 0)</f>
        <v>1801.63</v>
      </c>
      <c r="Y142">
        <f>IF(Source!BI77=2,I142, 0)</f>
        <v>0</v>
      </c>
      <c r="Z142">
        <f>IF(Source!BI77=3,I142, 0)</f>
        <v>0</v>
      </c>
      <c r="AA142">
        <f>IF(Source!BI77=4,I142, 0)</f>
        <v>0</v>
      </c>
    </row>
    <row r="143" spans="1:27" ht="14.4">
      <c r="A143" s="22"/>
      <c r="B143" s="23"/>
      <c r="C143" s="23" t="s">
        <v>285</v>
      </c>
      <c r="D143" s="25" t="s">
        <v>286</v>
      </c>
      <c r="E143" s="10">
        <f>Source!DN76</f>
        <v>161</v>
      </c>
      <c r="F143" s="27"/>
      <c r="G143" s="26"/>
      <c r="H143" s="10"/>
      <c r="I143" s="28">
        <f>SUM(Q136:Q142)</f>
        <v>38.04</v>
      </c>
      <c r="J143" s="10">
        <f>Source!BZ76</f>
        <v>131</v>
      </c>
      <c r="K143" s="28">
        <f>SUM(R136:R142)</f>
        <v>768.32</v>
      </c>
    </row>
    <row r="144" spans="1:27" ht="14.4">
      <c r="A144" s="22"/>
      <c r="B144" s="23"/>
      <c r="C144" s="23" t="s">
        <v>287</v>
      </c>
      <c r="D144" s="25" t="s">
        <v>286</v>
      </c>
      <c r="E144" s="10">
        <f>Source!DO76</f>
        <v>107</v>
      </c>
      <c r="F144" s="27"/>
      <c r="G144" s="26"/>
      <c r="H144" s="10"/>
      <c r="I144" s="28">
        <f>SUM(S136:S143)</f>
        <v>25.28</v>
      </c>
      <c r="J144" s="10">
        <f>Source!CA76</f>
        <v>54</v>
      </c>
      <c r="K144" s="28">
        <f>SUM(T136:T143)</f>
        <v>316.70999999999998</v>
      </c>
    </row>
    <row r="145" spans="1:27" ht="14.4">
      <c r="A145" s="22"/>
      <c r="B145" s="23"/>
      <c r="C145" s="23" t="s">
        <v>288</v>
      </c>
      <c r="D145" s="25" t="s">
        <v>286</v>
      </c>
      <c r="E145" s="10">
        <f>175</f>
        <v>175</v>
      </c>
      <c r="F145" s="27"/>
      <c r="G145" s="26"/>
      <c r="H145" s="10"/>
      <c r="I145" s="28">
        <f>SUM(U136:U144)</f>
        <v>32.5</v>
      </c>
      <c r="J145" s="10">
        <f>157</f>
        <v>157</v>
      </c>
      <c r="K145" s="28">
        <f>SUM(V136:V144)</f>
        <v>723.63</v>
      </c>
    </row>
    <row r="146" spans="1:27" ht="14.4">
      <c r="A146" s="22"/>
      <c r="B146" s="23"/>
      <c r="C146" s="23" t="s">
        <v>289</v>
      </c>
      <c r="D146" s="25" t="s">
        <v>290</v>
      </c>
      <c r="E146" s="10">
        <f>Source!AQ76</f>
        <v>14.4</v>
      </c>
      <c r="F146" s="27"/>
      <c r="G146" s="26" t="str">
        <f>Source!DI76</f>
        <v/>
      </c>
      <c r="H146" s="10">
        <f>Source!AV76</f>
        <v>1</v>
      </c>
      <c r="I146" s="28">
        <f>Source!U76</f>
        <v>2.2464</v>
      </c>
      <c r="J146" s="10"/>
      <c r="K146" s="28"/>
    </row>
    <row r="147" spans="1:27" ht="13.8">
      <c r="A147" s="32"/>
      <c r="B147" s="32"/>
      <c r="C147" s="32"/>
      <c r="D147" s="32"/>
      <c r="E147" s="32"/>
      <c r="F147" s="32"/>
      <c r="G147" s="32"/>
      <c r="H147" s="85">
        <f>I138+I139+I141+I143+I144+I145+SUM(I142:I142)</f>
        <v>2032.1200000000001</v>
      </c>
      <c r="I147" s="85"/>
      <c r="J147" s="85">
        <f>K138+K139+K141+K143+K144+K145+SUM(K142:K142)</f>
        <v>12909.14</v>
      </c>
      <c r="K147" s="85"/>
      <c r="O147" s="31">
        <f>I138+I139+I141+I143+I144+I145+SUM(I142:I142)</f>
        <v>2032.1200000000001</v>
      </c>
      <c r="P147" s="31">
        <f>K138+K139+K141+K143+K144+K145+SUM(K142:K142)</f>
        <v>12909.14</v>
      </c>
      <c r="X147">
        <f>IF(Source!BI76&lt;=1,I138+I139+I141+I143+I144+I145-0, 0)</f>
        <v>230.48999999999998</v>
      </c>
      <c r="Y147">
        <f>IF(Source!BI76=2,I138+I139+I141+I143+I144+I145-0, 0)</f>
        <v>0</v>
      </c>
      <c r="Z147">
        <f>IF(Source!BI76=3,I138+I139+I141+I143+I144+I145-0, 0)</f>
        <v>0</v>
      </c>
      <c r="AA147">
        <f>IF(Source!BI76=4,I138+I139+I141+I143+I144+I145,0)</f>
        <v>0</v>
      </c>
    </row>
    <row r="148" spans="1:27" ht="100.8">
      <c r="A148" s="22" t="str">
        <f>Source!E78</f>
        <v>12</v>
      </c>
      <c r="B148" s="23" t="str">
        <f>Source!F78</f>
        <v>3.27-12-2</v>
      </c>
      <c r="C148" s="23" t="s">
        <v>51</v>
      </c>
      <c r="D148" s="25" t="str">
        <f>Source!H78</f>
        <v>100 м3 материала основания (в плотном теле)</v>
      </c>
      <c r="E148" s="10">
        <f>Source!I78</f>
        <v>9.3600000000000003E-2</v>
      </c>
      <c r="F148" s="27"/>
      <c r="G148" s="26"/>
      <c r="H148" s="10"/>
      <c r="I148" s="28"/>
      <c r="J148" s="10"/>
      <c r="K148" s="28"/>
      <c r="Q148">
        <f>ROUND((Source!DN78/100)*ROUND((ROUND((Source!AF78*Source!AV78*Source!I78),2)),2), 2)</f>
        <v>34.24</v>
      </c>
      <c r="R148">
        <f>Source!X78</f>
        <v>691.58</v>
      </c>
      <c r="S148">
        <f>ROUND((Source!DO78/100)*ROUND((ROUND((Source!AF78*Source!AV78*Source!I78),2)),2), 2)</f>
        <v>22.76</v>
      </c>
      <c r="T148">
        <f>Source!Y78</f>
        <v>285.08</v>
      </c>
      <c r="U148">
        <f>ROUND((175/100)*ROUND((ROUND((Source!AE78*Source!AV78*Source!I78),2)),2), 2)</f>
        <v>103.55</v>
      </c>
      <c r="V148">
        <f>ROUND((157/100)*ROUND(ROUND((ROUND((Source!AE78*Source!AV78*Source!I78),2)*Source!BS78),2), 2), 2)</f>
        <v>2305.6999999999998</v>
      </c>
    </row>
    <row r="149" spans="1:27">
      <c r="C149" s="29" t="str">
        <f>"Объем: "&amp;Source!I78&amp;"=78*"&amp;"0,12/"&amp;"100"</f>
        <v>Объем: 0,0936=78*0,12/100</v>
      </c>
    </row>
    <row r="150" spans="1:27" ht="14.4">
      <c r="A150" s="22"/>
      <c r="B150" s="23"/>
      <c r="C150" s="23" t="s">
        <v>282</v>
      </c>
      <c r="D150" s="25"/>
      <c r="E150" s="10"/>
      <c r="F150" s="27">
        <f>Source!AO78</f>
        <v>227.23</v>
      </c>
      <c r="G150" s="26" t="str">
        <f>Source!DG78</f>
        <v/>
      </c>
      <c r="H150" s="10">
        <f>Source!AV78</f>
        <v>1</v>
      </c>
      <c r="I150" s="28">
        <f>ROUND((ROUND((Source!AF78*Source!AV78*Source!I78),2)),2)</f>
        <v>21.27</v>
      </c>
      <c r="J150" s="10">
        <f>IF(Source!BA78&lt;&gt; 0, Source!BA78, 1)</f>
        <v>24.82</v>
      </c>
      <c r="K150" s="28">
        <f>Source!S78</f>
        <v>527.91999999999996</v>
      </c>
      <c r="W150">
        <f>I150</f>
        <v>21.27</v>
      </c>
    </row>
    <row r="151" spans="1:27" ht="14.4">
      <c r="A151" s="22"/>
      <c r="B151" s="23"/>
      <c r="C151" s="23" t="s">
        <v>283</v>
      </c>
      <c r="D151" s="25"/>
      <c r="E151" s="10"/>
      <c r="F151" s="27">
        <f>Source!AM78</f>
        <v>3024.67</v>
      </c>
      <c r="G151" s="26" t="str">
        <f>Source!DE78</f>
        <v/>
      </c>
      <c r="H151" s="10">
        <f>Source!AV78</f>
        <v>1</v>
      </c>
      <c r="I151" s="28">
        <f>(ROUND((ROUND(((Source!ET78)*Source!AV78*Source!I78),2)),2)+ROUND((ROUND(((Source!AE78-(Source!EU78))*Source!AV78*Source!I78),2)),2))</f>
        <v>283.11</v>
      </c>
      <c r="J151" s="10">
        <f>IF(Source!BB78&lt;&gt; 0, Source!BB78, 1)</f>
        <v>8.5</v>
      </c>
      <c r="K151" s="28">
        <f>Source!Q78</f>
        <v>2406.44</v>
      </c>
    </row>
    <row r="152" spans="1:27" ht="14.4">
      <c r="A152" s="22"/>
      <c r="B152" s="23"/>
      <c r="C152" s="23" t="s">
        <v>284</v>
      </c>
      <c r="D152" s="25"/>
      <c r="E152" s="10"/>
      <c r="F152" s="27">
        <f>Source!AN78</f>
        <v>632.20000000000005</v>
      </c>
      <c r="G152" s="26" t="str">
        <f>Source!DF78</f>
        <v/>
      </c>
      <c r="H152" s="10">
        <f>Source!AV78</f>
        <v>1</v>
      </c>
      <c r="I152" s="30">
        <f>ROUND((ROUND((Source!AE78*Source!AV78*Source!I78),2)),2)</f>
        <v>59.17</v>
      </c>
      <c r="J152" s="10">
        <f>IF(Source!BS78&lt;&gt; 0, Source!BS78, 1)</f>
        <v>24.82</v>
      </c>
      <c r="K152" s="30">
        <f>Source!R78</f>
        <v>1468.6</v>
      </c>
      <c r="W152">
        <f>I152</f>
        <v>59.17</v>
      </c>
    </row>
    <row r="153" spans="1:27" ht="14.4">
      <c r="A153" s="22"/>
      <c r="B153" s="23"/>
      <c r="C153" s="23" t="s">
        <v>291</v>
      </c>
      <c r="D153" s="25"/>
      <c r="E153" s="10"/>
      <c r="F153" s="27">
        <f>Source!AL78</f>
        <v>49.49</v>
      </c>
      <c r="G153" s="26" t="str">
        <f>Source!DD78</f>
        <v/>
      </c>
      <c r="H153" s="10">
        <f>Source!AW78</f>
        <v>1</v>
      </c>
      <c r="I153" s="28">
        <f>ROUND((ROUND((Source!AC78*Source!AW78*Source!I78),2)),2)</f>
        <v>4.63</v>
      </c>
      <c r="J153" s="10">
        <f>IF(Source!BC78&lt;&gt; 0, Source!BC78, 1)</f>
        <v>4.99</v>
      </c>
      <c r="K153" s="28">
        <f>Source!P78</f>
        <v>23.1</v>
      </c>
    </row>
    <row r="154" spans="1:27" ht="41.4">
      <c r="A154" s="22" t="str">
        <f>Source!E79</f>
        <v>12,1</v>
      </c>
      <c r="B154" s="23" t="str">
        <f>Source!F79</f>
        <v>1.1-1-1550</v>
      </c>
      <c r="C154" s="23" t="s">
        <v>55</v>
      </c>
      <c r="D154" s="25" t="str">
        <f>Source!H79</f>
        <v>м3</v>
      </c>
      <c r="E154" s="10">
        <f>Source!I79</f>
        <v>11.7936</v>
      </c>
      <c r="F154" s="27">
        <f>Source!AK79</f>
        <v>173.37</v>
      </c>
      <c r="G154" s="33" t="s">
        <v>3</v>
      </c>
      <c r="H154" s="10">
        <f>Source!AW79</f>
        <v>1</v>
      </c>
      <c r="I154" s="28">
        <f>ROUND((ROUND((Source!AC79*Source!AW79*Source!I79),2)),2)+(ROUND((ROUND(((Source!ET79)*Source!AV79*Source!I79),2)),2)+ROUND((ROUND(((Source!AE79-(Source!EU79))*Source!AV79*Source!I79),2)),2))+ROUND((ROUND((Source!AF79*Source!AV79*Source!I79),2)),2)</f>
        <v>2044.66</v>
      </c>
      <c r="J154" s="10">
        <f>IF(Source!BC79&lt;&gt; 0, Source!BC79, 1)</f>
        <v>10.47</v>
      </c>
      <c r="K154" s="28">
        <f>Source!O79</f>
        <v>21407.59</v>
      </c>
      <c r="Q154">
        <f>ROUND((Source!DN79/100)*ROUND((ROUND((Source!AF79*Source!AV79*Source!I79),2)),2), 2)</f>
        <v>0</v>
      </c>
      <c r="R154">
        <f>Source!X79</f>
        <v>0</v>
      </c>
      <c r="S154">
        <f>ROUND((Source!DO79/100)*ROUND((ROUND((Source!AF79*Source!AV79*Source!I79),2)),2), 2)</f>
        <v>0</v>
      </c>
      <c r="T154">
        <f>Source!Y79</f>
        <v>0</v>
      </c>
      <c r="U154">
        <f>ROUND((175/100)*ROUND((ROUND((Source!AE79*Source!AV79*Source!I79),2)),2), 2)</f>
        <v>0</v>
      </c>
      <c r="V154">
        <f>ROUND((157/100)*ROUND(ROUND((ROUND((Source!AE79*Source!AV79*Source!I79),2)*Source!BS79),2), 2), 2)</f>
        <v>0</v>
      </c>
      <c r="X154">
        <f>IF(Source!BI79&lt;=1,I154, 0)</f>
        <v>2044.66</v>
      </c>
      <c r="Y154">
        <f>IF(Source!BI79=2,I154, 0)</f>
        <v>0</v>
      </c>
      <c r="Z154">
        <f>IF(Source!BI79=3,I154, 0)</f>
        <v>0</v>
      </c>
      <c r="AA154">
        <f>IF(Source!BI79=4,I154, 0)</f>
        <v>0</v>
      </c>
    </row>
    <row r="155" spans="1:27" ht="14.4">
      <c r="A155" s="22"/>
      <c r="B155" s="23"/>
      <c r="C155" s="23" t="s">
        <v>285</v>
      </c>
      <c r="D155" s="25" t="s">
        <v>286</v>
      </c>
      <c r="E155" s="10">
        <f>Source!DN78</f>
        <v>161</v>
      </c>
      <c r="F155" s="27"/>
      <c r="G155" s="26"/>
      <c r="H155" s="10"/>
      <c r="I155" s="28">
        <f>SUM(Q148:Q154)</f>
        <v>34.24</v>
      </c>
      <c r="J155" s="10">
        <f>Source!BZ78</f>
        <v>131</v>
      </c>
      <c r="K155" s="28">
        <f>SUM(R148:R154)</f>
        <v>691.58</v>
      </c>
    </row>
    <row r="156" spans="1:27" ht="14.4">
      <c r="A156" s="22"/>
      <c r="B156" s="23"/>
      <c r="C156" s="23" t="s">
        <v>287</v>
      </c>
      <c r="D156" s="25" t="s">
        <v>286</v>
      </c>
      <c r="E156" s="10">
        <f>Source!DO78</f>
        <v>107</v>
      </c>
      <c r="F156" s="27"/>
      <c r="G156" s="26"/>
      <c r="H156" s="10"/>
      <c r="I156" s="28">
        <f>SUM(S148:S155)</f>
        <v>22.76</v>
      </c>
      <c r="J156" s="10">
        <f>Source!CA78</f>
        <v>54</v>
      </c>
      <c r="K156" s="28">
        <f>SUM(T148:T155)</f>
        <v>285.08</v>
      </c>
    </row>
    <row r="157" spans="1:27" ht="14.4">
      <c r="A157" s="22"/>
      <c r="B157" s="23"/>
      <c r="C157" s="23" t="s">
        <v>288</v>
      </c>
      <c r="D157" s="25" t="s">
        <v>286</v>
      </c>
      <c r="E157" s="10">
        <f>175</f>
        <v>175</v>
      </c>
      <c r="F157" s="27"/>
      <c r="G157" s="26"/>
      <c r="H157" s="10"/>
      <c r="I157" s="28">
        <f>SUM(U148:U156)</f>
        <v>103.55</v>
      </c>
      <c r="J157" s="10">
        <f>157</f>
        <v>157</v>
      </c>
      <c r="K157" s="28">
        <f>SUM(V148:V156)</f>
        <v>2305.6999999999998</v>
      </c>
    </row>
    <row r="158" spans="1:27" ht="14.4">
      <c r="A158" s="22"/>
      <c r="B158" s="23"/>
      <c r="C158" s="23" t="s">
        <v>289</v>
      </c>
      <c r="D158" s="25" t="s">
        <v>290</v>
      </c>
      <c r="E158" s="10">
        <f>Source!AQ78</f>
        <v>21.6</v>
      </c>
      <c r="F158" s="27"/>
      <c r="G158" s="26" t="str">
        <f>Source!DI78</f>
        <v/>
      </c>
      <c r="H158" s="10">
        <f>Source!AV78</f>
        <v>1</v>
      </c>
      <c r="I158" s="28">
        <f>Source!U78</f>
        <v>2.02176</v>
      </c>
      <c r="J158" s="10"/>
      <c r="K158" s="28"/>
    </row>
    <row r="159" spans="1:27" ht="13.8">
      <c r="A159" s="32"/>
      <c r="B159" s="32"/>
      <c r="C159" s="32"/>
      <c r="D159" s="32"/>
      <c r="E159" s="32"/>
      <c r="F159" s="32"/>
      <c r="G159" s="32"/>
      <c r="H159" s="85">
        <f>I150+I151+I153+I155+I156+I157+SUM(I154:I154)</f>
        <v>2514.2200000000003</v>
      </c>
      <c r="I159" s="85"/>
      <c r="J159" s="85">
        <f>K150+K151+K153+K155+K156+K157+SUM(K154:K154)</f>
        <v>27647.41</v>
      </c>
      <c r="K159" s="85"/>
      <c r="O159" s="31">
        <f>I150+I151+I153+I155+I156+I157+SUM(I154:I154)</f>
        <v>2514.2200000000003</v>
      </c>
      <c r="P159" s="31">
        <f>K150+K151+K153+K155+K156+K157+SUM(K154:K154)</f>
        <v>27647.41</v>
      </c>
      <c r="X159">
        <f>IF(Source!BI78&lt;=1,I150+I151+I153+I155+I156+I157-0, 0)</f>
        <v>469.56</v>
      </c>
      <c r="Y159">
        <f>IF(Source!BI78=2,I150+I151+I153+I155+I156+I157-0, 0)</f>
        <v>0</v>
      </c>
      <c r="Z159">
        <f>IF(Source!BI78=3,I150+I151+I153+I155+I156+I157-0, 0)</f>
        <v>0</v>
      </c>
      <c r="AA159">
        <f>IF(Source!BI78=4,I150+I151+I153+I155+I156+I157,0)</f>
        <v>0</v>
      </c>
    </row>
    <row r="160" spans="1:27" ht="41.4">
      <c r="A160" s="22" t="str">
        <f>Source!E80</f>
        <v>13</v>
      </c>
      <c r="B160" s="23" t="str">
        <f>Source!F80</f>
        <v>3.47-69-1</v>
      </c>
      <c r="C160" s="23" t="s">
        <v>133</v>
      </c>
      <c r="D160" s="25" t="str">
        <f>Source!H80</f>
        <v>100 м2</v>
      </c>
      <c r="E160" s="10">
        <f>Source!I80</f>
        <v>0.78</v>
      </c>
      <c r="F160" s="27"/>
      <c r="G160" s="26"/>
      <c r="H160" s="10"/>
      <c r="I160" s="28"/>
      <c r="J160" s="10"/>
      <c r="K160" s="28"/>
      <c r="Q160">
        <f>ROUND((Source!DN80/100)*ROUND((ROUND((Source!AF80*Source!AV80*Source!I80),2)),2), 2)</f>
        <v>1351.71</v>
      </c>
      <c r="R160">
        <f>Source!X80</f>
        <v>26539.15</v>
      </c>
      <c r="S160">
        <f>ROUND((Source!DO80/100)*ROUND((ROUND((Source!AF80*Source!AV80*Source!I80),2)),2), 2)</f>
        <v>837.25</v>
      </c>
      <c r="T160">
        <f>Source!Y80</f>
        <v>10265.14</v>
      </c>
      <c r="U160">
        <f>ROUND((175/100)*ROUND((ROUND((Source!AE80*Source!AV80*Source!I80),2)),2), 2)</f>
        <v>36.700000000000003</v>
      </c>
      <c r="V160">
        <f>ROUND((157/100)*ROUND(ROUND((ROUND((Source!AE80*Source!AV80*Source!I80),2)*Source!BS80),2), 2), 2)</f>
        <v>817.15</v>
      </c>
    </row>
    <row r="161" spans="1:27">
      <c r="C161" s="29" t="str">
        <f>"Объем: "&amp;Source!I80&amp;"=78/"&amp;"100"</f>
        <v>Объем: 0,78=78/100</v>
      </c>
    </row>
    <row r="162" spans="1:27" ht="14.4">
      <c r="A162" s="22"/>
      <c r="B162" s="23"/>
      <c r="C162" s="23" t="s">
        <v>282</v>
      </c>
      <c r="D162" s="25"/>
      <c r="E162" s="10"/>
      <c r="F162" s="27">
        <f>Source!AO80</f>
        <v>1293.25</v>
      </c>
      <c r="G162" s="26" t="str">
        <f>Source!DG80</f>
        <v/>
      </c>
      <c r="H162" s="10">
        <f>Source!AV80</f>
        <v>1</v>
      </c>
      <c r="I162" s="28">
        <f>ROUND((ROUND((Source!AF80*Source!AV80*Source!I80),2)),2)</f>
        <v>1008.74</v>
      </c>
      <c r="J162" s="10">
        <f>IF(Source!BA80&lt;&gt; 0, Source!BA80, 1)</f>
        <v>24.82</v>
      </c>
      <c r="K162" s="28">
        <f>Source!S80</f>
        <v>25036.93</v>
      </c>
      <c r="W162">
        <f>I162</f>
        <v>1008.74</v>
      </c>
    </row>
    <row r="163" spans="1:27" ht="14.4">
      <c r="A163" s="22"/>
      <c r="B163" s="23"/>
      <c r="C163" s="23" t="s">
        <v>283</v>
      </c>
      <c r="D163" s="25"/>
      <c r="E163" s="10"/>
      <c r="F163" s="27">
        <f>Source!AM80</f>
        <v>275.43</v>
      </c>
      <c r="G163" s="26" t="str">
        <f>Source!DE80</f>
        <v/>
      </c>
      <c r="H163" s="10">
        <f>Source!AV80</f>
        <v>1</v>
      </c>
      <c r="I163" s="28">
        <f>(ROUND((ROUND(((Source!ET80)*Source!AV80*Source!I80),2)),2)+ROUND((ROUND(((Source!AE80-(Source!EU80))*Source!AV80*Source!I80),2)),2))</f>
        <v>214.84</v>
      </c>
      <c r="J163" s="10">
        <f>IF(Source!BB80&lt;&gt; 0, Source!BB80, 1)</f>
        <v>8.0299999999999994</v>
      </c>
      <c r="K163" s="28">
        <f>Source!Q80</f>
        <v>1725.17</v>
      </c>
    </row>
    <row r="164" spans="1:27" ht="14.4">
      <c r="A164" s="22"/>
      <c r="B164" s="23"/>
      <c r="C164" s="23" t="s">
        <v>284</v>
      </c>
      <c r="D164" s="25"/>
      <c r="E164" s="10"/>
      <c r="F164" s="27">
        <f>Source!AN80</f>
        <v>26.88</v>
      </c>
      <c r="G164" s="26" t="str">
        <f>Source!DF80</f>
        <v/>
      </c>
      <c r="H164" s="10">
        <f>Source!AV80</f>
        <v>1</v>
      </c>
      <c r="I164" s="30">
        <f>ROUND((ROUND((Source!AE80*Source!AV80*Source!I80),2)),2)</f>
        <v>20.97</v>
      </c>
      <c r="J164" s="10">
        <f>IF(Source!BS80&lt;&gt; 0, Source!BS80, 1)</f>
        <v>24.82</v>
      </c>
      <c r="K164" s="30">
        <f>Source!R80</f>
        <v>520.48</v>
      </c>
      <c r="W164">
        <f>I164</f>
        <v>20.97</v>
      </c>
    </row>
    <row r="165" spans="1:27" ht="14.4">
      <c r="A165" s="22"/>
      <c r="B165" s="23"/>
      <c r="C165" s="23" t="s">
        <v>291</v>
      </c>
      <c r="D165" s="25"/>
      <c r="E165" s="10"/>
      <c r="F165" s="27">
        <f>Source!AL80</f>
        <v>22.05</v>
      </c>
      <c r="G165" s="26" t="str">
        <f>Source!DD80</f>
        <v/>
      </c>
      <c r="H165" s="10">
        <f>Source!AW80</f>
        <v>1</v>
      </c>
      <c r="I165" s="28">
        <f>ROUND((ROUND((Source!AC80*Source!AW80*Source!I80),2)),2)</f>
        <v>17.2</v>
      </c>
      <c r="J165" s="10">
        <f>IF(Source!BC80&lt;&gt; 0, Source!BC80, 1)</f>
        <v>5.26</v>
      </c>
      <c r="K165" s="28">
        <f>Source!P80</f>
        <v>90.47</v>
      </c>
    </row>
    <row r="166" spans="1:27" ht="27.6">
      <c r="A166" s="22" t="str">
        <f>Source!E81</f>
        <v>13,1</v>
      </c>
      <c r="B166" s="23" t="str">
        <f>Source!F81</f>
        <v>1.7-3-75</v>
      </c>
      <c r="C166" s="23" t="s">
        <v>140</v>
      </c>
      <c r="D166" s="25" t="str">
        <f>Source!H81</f>
        <v>шт.</v>
      </c>
      <c r="E166" s="10">
        <f>Source!I81</f>
        <v>1.17</v>
      </c>
      <c r="F166" s="27">
        <f>Source!AK81</f>
        <v>437.82</v>
      </c>
      <c r="G166" s="33" t="s">
        <v>3</v>
      </c>
      <c r="H166" s="10">
        <f>Source!AW81</f>
        <v>1</v>
      </c>
      <c r="I166" s="28">
        <f>ROUND((ROUND((Source!AC81*Source!AW81*Source!I81),2)),2)+(ROUND((ROUND(((Source!ET81)*Source!AV81*Source!I81),2)),2)+ROUND((ROUND(((Source!AE81-(Source!EU81))*Source!AV81*Source!I81),2)),2))+ROUND((ROUND((Source!AF81*Source!AV81*Source!I81),2)),2)</f>
        <v>512.25</v>
      </c>
      <c r="J166" s="10">
        <f>IF(Source!BC81&lt;&gt; 0, Source!BC81, 1)</f>
        <v>1.81</v>
      </c>
      <c r="K166" s="28">
        <f>Source!O81</f>
        <v>927.17</v>
      </c>
      <c r="Q166">
        <f>ROUND((Source!DN81/100)*ROUND((ROUND((Source!AF81*Source!AV81*Source!I81),2)),2), 2)</f>
        <v>0</v>
      </c>
      <c r="R166">
        <f>Source!X81</f>
        <v>0</v>
      </c>
      <c r="S166">
        <f>ROUND((Source!DO81/100)*ROUND((ROUND((Source!AF81*Source!AV81*Source!I81),2)),2), 2)</f>
        <v>0</v>
      </c>
      <c r="T166">
        <f>Source!Y81</f>
        <v>0</v>
      </c>
      <c r="U166">
        <f>ROUND((175/100)*ROUND((ROUND((Source!AE81*Source!AV81*Source!I81),2)),2), 2)</f>
        <v>0</v>
      </c>
      <c r="V166">
        <f>ROUND((157/100)*ROUND(ROUND((ROUND((Source!AE81*Source!AV81*Source!I81),2)*Source!BS81),2), 2), 2)</f>
        <v>0</v>
      </c>
      <c r="X166">
        <f>IF(Source!BI81&lt;=1,I166, 0)</f>
        <v>512.25</v>
      </c>
      <c r="Y166">
        <f>IF(Source!BI81=2,I166, 0)</f>
        <v>0</v>
      </c>
      <c r="Z166">
        <f>IF(Source!BI81=3,I166, 0)</f>
        <v>0</v>
      </c>
      <c r="AA166">
        <f>IF(Source!BI81=4,I166, 0)</f>
        <v>0</v>
      </c>
    </row>
    <row r="167" spans="1:27" ht="27.6">
      <c r="A167" s="22" t="str">
        <f>Source!E82</f>
        <v>13,2</v>
      </c>
      <c r="B167" s="23" t="str">
        <f>Source!F82</f>
        <v>1.5-3-394</v>
      </c>
      <c r="C167" s="23" t="s">
        <v>145</v>
      </c>
      <c r="D167" s="25" t="str">
        <f>Source!H82</f>
        <v>м2</v>
      </c>
      <c r="E167" s="10">
        <f>Source!I82</f>
        <v>79.210560000000001</v>
      </c>
      <c r="F167" s="27">
        <f>Source!AK82</f>
        <v>157.65</v>
      </c>
      <c r="G167" s="33" t="s">
        <v>3</v>
      </c>
      <c r="H167" s="10">
        <f>Source!AW82</f>
        <v>1</v>
      </c>
      <c r="I167" s="28">
        <f>ROUND((ROUND((Source!AC82*Source!AW82*Source!I82),2)),2)+(ROUND((ROUND(((Source!ET82)*Source!AV82*Source!I82),2)),2)+ROUND((ROUND(((Source!AE82-(Source!EU82))*Source!AV82*Source!I82),2)),2))+ROUND((ROUND((Source!AF82*Source!AV82*Source!I82),2)),2)</f>
        <v>12487.54</v>
      </c>
      <c r="J167" s="10">
        <f>IF(Source!BC82&lt;&gt; 0, Source!BC82, 1)</f>
        <v>5.36</v>
      </c>
      <c r="K167" s="28">
        <f>Source!O82</f>
        <v>66933.210000000006</v>
      </c>
      <c r="Q167">
        <f>ROUND((Source!DN82/100)*ROUND((ROUND((Source!AF82*Source!AV82*Source!I82),2)),2), 2)</f>
        <v>0</v>
      </c>
      <c r="R167">
        <f>Source!X82</f>
        <v>0</v>
      </c>
      <c r="S167">
        <f>ROUND((Source!DO82/100)*ROUND((ROUND((Source!AF82*Source!AV82*Source!I82),2)),2), 2)</f>
        <v>0</v>
      </c>
      <c r="T167">
        <f>Source!Y82</f>
        <v>0</v>
      </c>
      <c r="U167">
        <f>ROUND((175/100)*ROUND((ROUND((Source!AE82*Source!AV82*Source!I82),2)),2), 2)</f>
        <v>0</v>
      </c>
      <c r="V167">
        <f>ROUND((157/100)*ROUND(ROUND((ROUND((Source!AE82*Source!AV82*Source!I82),2)*Source!BS82),2), 2), 2)</f>
        <v>0</v>
      </c>
      <c r="X167">
        <f>IF(Source!BI82&lt;=1,I167, 0)</f>
        <v>12487.54</v>
      </c>
      <c r="Y167">
        <f>IF(Source!BI82=2,I167, 0)</f>
        <v>0</v>
      </c>
      <c r="Z167">
        <f>IF(Source!BI82=3,I167, 0)</f>
        <v>0</v>
      </c>
      <c r="AA167">
        <f>IF(Source!BI82=4,I167, 0)</f>
        <v>0</v>
      </c>
    </row>
    <row r="168" spans="1:27" ht="41.4">
      <c r="A168" s="22" t="str">
        <f>Source!E83</f>
        <v>13,3</v>
      </c>
      <c r="B168" s="23" t="str">
        <f>Source!F83</f>
        <v>1.3-2-18</v>
      </c>
      <c r="C168" s="23" t="s">
        <v>150</v>
      </c>
      <c r="D168" s="25" t="str">
        <f>Source!H83</f>
        <v>т</v>
      </c>
      <c r="E168" s="10">
        <f>Source!I83</f>
        <v>1.7550000000000001</v>
      </c>
      <c r="F168" s="27">
        <f>Source!AK83</f>
        <v>438.37</v>
      </c>
      <c r="G168" s="33" t="s">
        <v>3</v>
      </c>
      <c r="H168" s="10">
        <f>Source!AW83</f>
        <v>1</v>
      </c>
      <c r="I168" s="28">
        <f>ROUND((ROUND((Source!AC83*Source!AW83*Source!I83),2)),2)+(ROUND((ROUND(((Source!ET83)*Source!AV83*Source!I83),2)),2)+ROUND((ROUND(((Source!AE83-(Source!EU83))*Source!AV83*Source!I83),2)),2))+ROUND((ROUND((Source!AF83*Source!AV83*Source!I83),2)),2)</f>
        <v>769.34</v>
      </c>
      <c r="J168" s="10">
        <f>IF(Source!BC83&lt;&gt; 0, Source!BC83, 1)</f>
        <v>7.29</v>
      </c>
      <c r="K168" s="28">
        <f>Source!O83</f>
        <v>5608.49</v>
      </c>
      <c r="Q168">
        <f>ROUND((Source!DN83/100)*ROUND((ROUND((Source!AF83*Source!AV83*Source!I83),2)),2), 2)</f>
        <v>0</v>
      </c>
      <c r="R168">
        <f>Source!X83</f>
        <v>0</v>
      </c>
      <c r="S168">
        <f>ROUND((Source!DO83/100)*ROUND((ROUND((Source!AF83*Source!AV83*Source!I83),2)),2), 2)</f>
        <v>0</v>
      </c>
      <c r="T168">
        <f>Source!Y83</f>
        <v>0</v>
      </c>
      <c r="U168">
        <f>ROUND((175/100)*ROUND((ROUND((Source!AE83*Source!AV83*Source!I83),2)),2), 2)</f>
        <v>0</v>
      </c>
      <c r="V168">
        <f>ROUND((157/100)*ROUND(ROUND((ROUND((Source!AE83*Source!AV83*Source!I83),2)*Source!BS83),2), 2), 2)</f>
        <v>0</v>
      </c>
      <c r="X168">
        <f>IF(Source!BI83&lt;=1,I168, 0)</f>
        <v>769.34</v>
      </c>
      <c r="Y168">
        <f>IF(Source!BI83=2,I168, 0)</f>
        <v>0</v>
      </c>
      <c r="Z168">
        <f>IF(Source!BI83=3,I168, 0)</f>
        <v>0</v>
      </c>
      <c r="AA168">
        <f>IF(Source!BI83=4,I168, 0)</f>
        <v>0</v>
      </c>
    </row>
    <row r="169" spans="1:27" ht="14.4">
      <c r="A169" s="22"/>
      <c r="B169" s="23"/>
      <c r="C169" s="23" t="s">
        <v>285</v>
      </c>
      <c r="D169" s="25" t="s">
        <v>286</v>
      </c>
      <c r="E169" s="10">
        <f>Source!DN80</f>
        <v>134</v>
      </c>
      <c r="F169" s="27"/>
      <c r="G169" s="26"/>
      <c r="H169" s="10"/>
      <c r="I169" s="28">
        <f>SUM(Q160:Q168)</f>
        <v>1351.71</v>
      </c>
      <c r="J169" s="10">
        <f>Source!BZ80</f>
        <v>106</v>
      </c>
      <c r="K169" s="28">
        <f>SUM(R160:R168)</f>
        <v>26539.15</v>
      </c>
    </row>
    <row r="170" spans="1:27" ht="14.4">
      <c r="A170" s="22"/>
      <c r="B170" s="23"/>
      <c r="C170" s="23" t="s">
        <v>287</v>
      </c>
      <c r="D170" s="25" t="s">
        <v>286</v>
      </c>
      <c r="E170" s="10">
        <f>Source!DO80</f>
        <v>83</v>
      </c>
      <c r="F170" s="27"/>
      <c r="G170" s="26"/>
      <c r="H170" s="10"/>
      <c r="I170" s="28">
        <f>SUM(S160:S169)</f>
        <v>837.25</v>
      </c>
      <c r="J170" s="10">
        <f>Source!CA80</f>
        <v>41</v>
      </c>
      <c r="K170" s="28">
        <f>SUM(T160:T169)</f>
        <v>10265.14</v>
      </c>
    </row>
    <row r="171" spans="1:27" ht="14.4">
      <c r="A171" s="22"/>
      <c r="B171" s="23"/>
      <c r="C171" s="23" t="s">
        <v>288</v>
      </c>
      <c r="D171" s="25" t="s">
        <v>286</v>
      </c>
      <c r="E171" s="10">
        <f>175</f>
        <v>175</v>
      </c>
      <c r="F171" s="27"/>
      <c r="G171" s="26"/>
      <c r="H171" s="10"/>
      <c r="I171" s="28">
        <f>SUM(U160:U170)</f>
        <v>36.700000000000003</v>
      </c>
      <c r="J171" s="10">
        <f>157</f>
        <v>157</v>
      </c>
      <c r="K171" s="28">
        <f>SUM(V160:V170)</f>
        <v>817.15</v>
      </c>
    </row>
    <row r="172" spans="1:27" ht="14.4">
      <c r="A172" s="22"/>
      <c r="B172" s="23"/>
      <c r="C172" s="23" t="s">
        <v>289</v>
      </c>
      <c r="D172" s="25" t="s">
        <v>290</v>
      </c>
      <c r="E172" s="10">
        <f>Source!AQ80</f>
        <v>116.59</v>
      </c>
      <c r="F172" s="27"/>
      <c r="G172" s="26" t="str">
        <f>Source!DI80</f>
        <v/>
      </c>
      <c r="H172" s="10">
        <f>Source!AV80</f>
        <v>1</v>
      </c>
      <c r="I172" s="28">
        <f>Source!U80</f>
        <v>90.940200000000004</v>
      </c>
      <c r="J172" s="10"/>
      <c r="K172" s="28"/>
    </row>
    <row r="173" spans="1:27" ht="13.8">
      <c r="A173" s="32"/>
      <c r="B173" s="32"/>
      <c r="C173" s="32"/>
      <c r="D173" s="32"/>
      <c r="E173" s="32"/>
      <c r="F173" s="32"/>
      <c r="G173" s="32"/>
      <c r="H173" s="85">
        <f>I162+I163+I165+I169+I170+I171+SUM(I166:I168)</f>
        <v>17235.57</v>
      </c>
      <c r="I173" s="85"/>
      <c r="J173" s="85">
        <f>K162+K163+K165+K169+K170+K171+SUM(K166:K168)</f>
        <v>137942.88</v>
      </c>
      <c r="K173" s="85"/>
      <c r="O173" s="31">
        <f>I162+I163+I165+I169+I170+I171+SUM(I166:I168)</f>
        <v>17235.57</v>
      </c>
      <c r="P173" s="31">
        <f>K162+K163+K165+K169+K170+K171+SUM(K166:K168)</f>
        <v>137942.88</v>
      </c>
      <c r="X173">
        <f>IF(Source!BI80&lt;=1,I162+I163+I165+I169+I170+I171-0, 0)</f>
        <v>3466.4399999999996</v>
      </c>
      <c r="Y173">
        <f>IF(Source!BI80=2,I162+I163+I165+I169+I170+I171-0, 0)</f>
        <v>0</v>
      </c>
      <c r="Z173">
        <f>IF(Source!BI80=3,I162+I163+I165+I169+I170+I171-0, 0)</f>
        <v>0</v>
      </c>
      <c r="AA173">
        <f>IF(Source!BI80=4,I162+I163+I165+I169+I170+I171,0)</f>
        <v>0</v>
      </c>
    </row>
    <row r="175" spans="1:27" ht="13.8">
      <c r="A175" s="84" t="str">
        <f>CONCATENATE("Итого по разделу: ",IF(Source!G85&lt;&gt;"Новый раздел", Source!G85, ""))</f>
        <v>Итого по разделу: 27.1 Плиточное покрытие</v>
      </c>
      <c r="B175" s="84"/>
      <c r="C175" s="84"/>
      <c r="D175" s="84"/>
      <c r="E175" s="84"/>
      <c r="F175" s="84"/>
      <c r="G175" s="84"/>
      <c r="H175" s="82">
        <f>SUM(O111:O174)</f>
        <v>22358.52</v>
      </c>
      <c r="I175" s="83"/>
      <c r="J175" s="82">
        <f>SUM(P111:P174)</f>
        <v>187903.82</v>
      </c>
      <c r="K175" s="83"/>
    </row>
    <row r="176" spans="1:27" hidden="1">
      <c r="A176" t="s">
        <v>292</v>
      </c>
      <c r="I176">
        <f>SUM(AC111:AC175)</f>
        <v>0</v>
      </c>
      <c r="J176">
        <f>SUM(AD111:AD175)</f>
        <v>0</v>
      </c>
    </row>
    <row r="177" spans="1:27" hidden="1">
      <c r="A177" t="s">
        <v>293</v>
      </c>
      <c r="I177">
        <f>SUM(AE111:AE176)</f>
        <v>0</v>
      </c>
      <c r="J177">
        <f>SUM(AF111:AF176)</f>
        <v>0</v>
      </c>
    </row>
    <row r="179" spans="1:27" ht="16.8">
      <c r="A179" s="86" t="str">
        <f>CONCATENATE("Раздел: ",IF(Source!G115&lt;&gt;"Новый раздел", Source!G115, ""))</f>
        <v>Раздел: 28. Камень бортовой садовый</v>
      </c>
      <c r="B179" s="86"/>
      <c r="C179" s="86"/>
      <c r="D179" s="86"/>
      <c r="E179" s="86"/>
      <c r="F179" s="86"/>
      <c r="G179" s="86"/>
      <c r="H179" s="86"/>
      <c r="I179" s="86"/>
      <c r="J179" s="86"/>
      <c r="K179" s="86"/>
    </row>
    <row r="180" spans="1:27" ht="100.8">
      <c r="A180" s="22" t="str">
        <f>Source!E119</f>
        <v>14</v>
      </c>
      <c r="B180" s="23" t="str">
        <f>Source!F119</f>
        <v>3.27-12-1</v>
      </c>
      <c r="C180" s="23" t="s">
        <v>39</v>
      </c>
      <c r="D180" s="25" t="str">
        <f>Source!H119</f>
        <v>100 м3 материала основания (в плотном теле)</v>
      </c>
      <c r="E180" s="10">
        <f>Source!I119</f>
        <v>1.06E-2</v>
      </c>
      <c r="F180" s="27"/>
      <c r="G180" s="26"/>
      <c r="H180" s="10"/>
      <c r="I180" s="28"/>
      <c r="J180" s="10"/>
      <c r="K180" s="28"/>
      <c r="Q180">
        <f>ROUND((Source!DN119/100)*ROUND((ROUND((Source!AF119*Source!AV119*Source!I119),2)),2), 2)</f>
        <v>2.59</v>
      </c>
      <c r="R180">
        <f>Source!X119</f>
        <v>52.35</v>
      </c>
      <c r="S180">
        <f>ROUND((Source!DO119/100)*ROUND((ROUND((Source!AF119*Source!AV119*Source!I119),2)),2), 2)</f>
        <v>1.72</v>
      </c>
      <c r="T180">
        <f>Source!Y119</f>
        <v>21.58</v>
      </c>
      <c r="U180">
        <f>ROUND((175/100)*ROUND((ROUND((Source!AE119*Source!AV119*Source!I119),2)),2), 2)</f>
        <v>2.21</v>
      </c>
      <c r="V180">
        <f>ROUND((157/100)*ROUND(ROUND((ROUND((Source!AE119*Source!AV119*Source!I119),2)*Source!BS119),2), 2), 2)</f>
        <v>49.09</v>
      </c>
    </row>
    <row r="181" spans="1:27">
      <c r="C181" s="29" t="str">
        <f>"Объем: "&amp;Source!I119&amp;"=53*"&amp;"0,2*"&amp;"0,1/"&amp;"100"</f>
        <v>Объем: 0,0106=53*0,2*0,1/100</v>
      </c>
    </row>
    <row r="182" spans="1:27" ht="14.4">
      <c r="A182" s="22"/>
      <c r="B182" s="23"/>
      <c r="C182" s="23" t="s">
        <v>282</v>
      </c>
      <c r="D182" s="25"/>
      <c r="E182" s="10"/>
      <c r="F182" s="27">
        <f>Source!AO119</f>
        <v>151.49</v>
      </c>
      <c r="G182" s="26" t="str">
        <f>Source!DG119</f>
        <v/>
      </c>
      <c r="H182" s="10">
        <f>Source!AV119</f>
        <v>1</v>
      </c>
      <c r="I182" s="28">
        <f>ROUND((ROUND((Source!AF119*Source!AV119*Source!I119),2)),2)</f>
        <v>1.61</v>
      </c>
      <c r="J182" s="10">
        <f>IF(Source!BA119&lt;&gt; 0, Source!BA119, 1)</f>
        <v>24.82</v>
      </c>
      <c r="K182" s="28">
        <f>Source!S119</f>
        <v>39.96</v>
      </c>
      <c r="W182">
        <f>I182</f>
        <v>1.61</v>
      </c>
    </row>
    <row r="183" spans="1:27" ht="14.4">
      <c r="A183" s="22"/>
      <c r="B183" s="23"/>
      <c r="C183" s="23" t="s">
        <v>283</v>
      </c>
      <c r="D183" s="25"/>
      <c r="E183" s="10"/>
      <c r="F183" s="27">
        <f>Source!AM119</f>
        <v>676.47</v>
      </c>
      <c r="G183" s="26" t="str">
        <f>Source!DE119</f>
        <v/>
      </c>
      <c r="H183" s="10">
        <f>Source!AV119</f>
        <v>1</v>
      </c>
      <c r="I183" s="28">
        <f>(ROUND((ROUND(((Source!ET119)*Source!AV119*Source!I119),2)),2)+ROUND((ROUND(((Source!AE119-(Source!EU119))*Source!AV119*Source!I119),2)),2))</f>
        <v>7.17</v>
      </c>
      <c r="J183" s="10">
        <f>IF(Source!BB119&lt;&gt; 0, Source!BB119, 1)</f>
        <v>9.57</v>
      </c>
      <c r="K183" s="28">
        <f>Source!Q119</f>
        <v>68.62</v>
      </c>
    </row>
    <row r="184" spans="1:27" ht="14.4">
      <c r="A184" s="22"/>
      <c r="B184" s="23"/>
      <c r="C184" s="23" t="s">
        <v>284</v>
      </c>
      <c r="D184" s="25"/>
      <c r="E184" s="10"/>
      <c r="F184" s="27">
        <f>Source!AN119</f>
        <v>119.05</v>
      </c>
      <c r="G184" s="26" t="str">
        <f>Source!DF119</f>
        <v/>
      </c>
      <c r="H184" s="10">
        <f>Source!AV119</f>
        <v>1</v>
      </c>
      <c r="I184" s="30">
        <f>ROUND((ROUND((Source!AE119*Source!AV119*Source!I119),2)),2)</f>
        <v>1.26</v>
      </c>
      <c r="J184" s="10">
        <f>IF(Source!BS119&lt;&gt; 0, Source!BS119, 1)</f>
        <v>24.82</v>
      </c>
      <c r="K184" s="30">
        <f>Source!R119</f>
        <v>31.27</v>
      </c>
      <c r="W184">
        <f>I184</f>
        <v>1.26</v>
      </c>
    </row>
    <row r="185" spans="1:27" ht="14.4">
      <c r="A185" s="22"/>
      <c r="B185" s="23"/>
      <c r="C185" s="23" t="s">
        <v>291</v>
      </c>
      <c r="D185" s="25"/>
      <c r="E185" s="10"/>
      <c r="F185" s="27">
        <f>Source!AL119</f>
        <v>35.35</v>
      </c>
      <c r="G185" s="26" t="str">
        <f>Source!DD119</f>
        <v/>
      </c>
      <c r="H185" s="10">
        <f>Source!AW119</f>
        <v>1</v>
      </c>
      <c r="I185" s="28">
        <f>ROUND((ROUND((Source!AC119*Source!AW119*Source!I119),2)),2)</f>
        <v>0.37</v>
      </c>
      <c r="J185" s="10">
        <f>IF(Source!BC119&lt;&gt; 0, Source!BC119, 1)</f>
        <v>4.99</v>
      </c>
      <c r="K185" s="28">
        <f>Source!P119</f>
        <v>1.85</v>
      </c>
    </row>
    <row r="186" spans="1:27" ht="14.4">
      <c r="A186" s="22" t="str">
        <f>Source!E120</f>
        <v>14,1</v>
      </c>
      <c r="B186" s="23" t="str">
        <f>Source!F120</f>
        <v>1.1-1-766</v>
      </c>
      <c r="C186" s="23" t="s">
        <v>46</v>
      </c>
      <c r="D186" s="25" t="str">
        <f>Source!H120</f>
        <v>м3</v>
      </c>
      <c r="E186" s="10">
        <f>Source!I120</f>
        <v>1.1659999999999999</v>
      </c>
      <c r="F186" s="27">
        <f>Source!AK120</f>
        <v>104.99</v>
      </c>
      <c r="G186" s="33" t="s">
        <v>3</v>
      </c>
      <c r="H186" s="10">
        <f>Source!AW120</f>
        <v>1</v>
      </c>
      <c r="I186" s="28">
        <f>ROUND((ROUND((Source!AC120*Source!AW120*Source!I120),2)),2)+(ROUND((ROUND(((Source!ET120)*Source!AV120*Source!I120),2)),2)+ROUND((ROUND(((Source!AE120-(Source!EU120))*Source!AV120*Source!I120),2)),2))+ROUND((ROUND((Source!AF120*Source!AV120*Source!I120),2)),2)</f>
        <v>122.42</v>
      </c>
      <c r="J186" s="10">
        <f>IF(Source!BC120&lt;&gt; 0, Source!BC120, 1)</f>
        <v>5.26</v>
      </c>
      <c r="K186" s="28">
        <f>Source!O120</f>
        <v>643.92999999999995</v>
      </c>
      <c r="Q186">
        <f>ROUND((Source!DN120/100)*ROUND((ROUND((Source!AF120*Source!AV120*Source!I120),2)),2), 2)</f>
        <v>0</v>
      </c>
      <c r="R186">
        <f>Source!X120</f>
        <v>0</v>
      </c>
      <c r="S186">
        <f>ROUND((Source!DO120/100)*ROUND((ROUND((Source!AF120*Source!AV120*Source!I120),2)),2), 2)</f>
        <v>0</v>
      </c>
      <c r="T186">
        <f>Source!Y120</f>
        <v>0</v>
      </c>
      <c r="U186">
        <f>ROUND((175/100)*ROUND((ROUND((Source!AE120*Source!AV120*Source!I120),2)),2), 2)</f>
        <v>0</v>
      </c>
      <c r="V186">
        <f>ROUND((157/100)*ROUND(ROUND((ROUND((Source!AE120*Source!AV120*Source!I120),2)*Source!BS120),2), 2), 2)</f>
        <v>0</v>
      </c>
      <c r="X186">
        <f>IF(Source!BI120&lt;=1,I186, 0)</f>
        <v>122.42</v>
      </c>
      <c r="Y186">
        <f>IF(Source!BI120=2,I186, 0)</f>
        <v>0</v>
      </c>
      <c r="Z186">
        <f>IF(Source!BI120=3,I186, 0)</f>
        <v>0</v>
      </c>
      <c r="AA186">
        <f>IF(Source!BI120=4,I186, 0)</f>
        <v>0</v>
      </c>
    </row>
    <row r="187" spans="1:27" ht="14.4">
      <c r="A187" s="22"/>
      <c r="B187" s="23"/>
      <c r="C187" s="23" t="s">
        <v>285</v>
      </c>
      <c r="D187" s="25" t="s">
        <v>286</v>
      </c>
      <c r="E187" s="10">
        <f>Source!DN119</f>
        <v>161</v>
      </c>
      <c r="F187" s="27"/>
      <c r="G187" s="26"/>
      <c r="H187" s="10"/>
      <c r="I187" s="28">
        <f>SUM(Q180:Q186)</f>
        <v>2.59</v>
      </c>
      <c r="J187" s="10">
        <f>Source!BZ119</f>
        <v>131</v>
      </c>
      <c r="K187" s="28">
        <f>SUM(R180:R186)</f>
        <v>52.35</v>
      </c>
    </row>
    <row r="188" spans="1:27" ht="14.4">
      <c r="A188" s="22"/>
      <c r="B188" s="23"/>
      <c r="C188" s="23" t="s">
        <v>287</v>
      </c>
      <c r="D188" s="25" t="s">
        <v>286</v>
      </c>
      <c r="E188" s="10">
        <f>Source!DO119</f>
        <v>107</v>
      </c>
      <c r="F188" s="27"/>
      <c r="G188" s="26"/>
      <c r="H188" s="10"/>
      <c r="I188" s="28">
        <f>SUM(S180:S187)</f>
        <v>1.72</v>
      </c>
      <c r="J188" s="10">
        <f>Source!CA119</f>
        <v>54</v>
      </c>
      <c r="K188" s="28">
        <f>SUM(T180:T187)</f>
        <v>21.58</v>
      </c>
    </row>
    <row r="189" spans="1:27" ht="14.4">
      <c r="A189" s="22"/>
      <c r="B189" s="23"/>
      <c r="C189" s="23" t="s">
        <v>288</v>
      </c>
      <c r="D189" s="25" t="s">
        <v>286</v>
      </c>
      <c r="E189" s="10">
        <f>175</f>
        <v>175</v>
      </c>
      <c r="F189" s="27"/>
      <c r="G189" s="26"/>
      <c r="H189" s="10"/>
      <c r="I189" s="28">
        <f>SUM(U180:U188)</f>
        <v>2.21</v>
      </c>
      <c r="J189" s="10">
        <f>157</f>
        <v>157</v>
      </c>
      <c r="K189" s="28">
        <f>SUM(V180:V188)</f>
        <v>49.09</v>
      </c>
    </row>
    <row r="190" spans="1:27" ht="14.4">
      <c r="A190" s="22"/>
      <c r="B190" s="23"/>
      <c r="C190" s="23" t="s">
        <v>289</v>
      </c>
      <c r="D190" s="25" t="s">
        <v>290</v>
      </c>
      <c r="E190" s="10">
        <f>Source!AQ119</f>
        <v>14.4</v>
      </c>
      <c r="F190" s="27"/>
      <c r="G190" s="26" t="str">
        <f>Source!DI119</f>
        <v/>
      </c>
      <c r="H190" s="10">
        <f>Source!AV119</f>
        <v>1</v>
      </c>
      <c r="I190" s="28">
        <f>Source!U119</f>
        <v>0.15264</v>
      </c>
      <c r="J190" s="10"/>
      <c r="K190" s="28"/>
    </row>
    <row r="191" spans="1:27" ht="13.8">
      <c r="A191" s="32"/>
      <c r="B191" s="32"/>
      <c r="C191" s="32"/>
      <c r="D191" s="32"/>
      <c r="E191" s="32"/>
      <c r="F191" s="32"/>
      <c r="G191" s="32"/>
      <c r="H191" s="85">
        <f>I182+I183+I185+I187+I188+I189+SUM(I186:I186)</f>
        <v>138.09</v>
      </c>
      <c r="I191" s="85"/>
      <c r="J191" s="85">
        <f>K182+K183+K185+K187+K188+K189+SUM(K186:K186)</f>
        <v>877.38</v>
      </c>
      <c r="K191" s="85"/>
      <c r="O191" s="31">
        <f>I182+I183+I185+I187+I188+I189+SUM(I186:I186)</f>
        <v>138.09</v>
      </c>
      <c r="P191" s="31">
        <f>K182+K183+K185+K187+K188+K189+SUM(K186:K186)</f>
        <v>877.38</v>
      </c>
      <c r="X191">
        <f>IF(Source!BI119&lt;=1,I182+I183+I185+I187+I188+I189-0, 0)</f>
        <v>15.669999999999998</v>
      </c>
      <c r="Y191">
        <f>IF(Source!BI119=2,I182+I183+I185+I187+I188+I189-0, 0)</f>
        <v>0</v>
      </c>
      <c r="Z191">
        <f>IF(Source!BI119=3,I182+I183+I185+I187+I188+I189-0, 0)</f>
        <v>0</v>
      </c>
      <c r="AA191">
        <f>IF(Source!BI119=4,I182+I183+I185+I187+I188+I189,0)</f>
        <v>0</v>
      </c>
    </row>
    <row r="192" spans="1:27" ht="43.2">
      <c r="A192" s="22" t="str">
        <f>Source!E121</f>
        <v>15</v>
      </c>
      <c r="B192" s="23" t="str">
        <f>Source!F121</f>
        <v>3.27-26-6</v>
      </c>
      <c r="C192" s="23" t="s">
        <v>157</v>
      </c>
      <c r="D192" s="25" t="str">
        <f>Source!H121</f>
        <v>100 м бортового камня</v>
      </c>
      <c r="E192" s="10">
        <f>Source!I121</f>
        <v>0.53</v>
      </c>
      <c r="F192" s="27"/>
      <c r="G192" s="26"/>
      <c r="H192" s="10"/>
      <c r="I192" s="28"/>
      <c r="J192" s="10"/>
      <c r="K192" s="28"/>
      <c r="Q192">
        <f>ROUND((Source!DN121/100)*ROUND((ROUND((Source!AF121*Source!AV121*Source!I121),2)),2), 2)</f>
        <v>599.03</v>
      </c>
      <c r="R192">
        <f>Source!X121</f>
        <v>12097.56</v>
      </c>
      <c r="S192">
        <f>ROUND((Source!DO121/100)*ROUND((ROUND((Source!AF121*Source!AV121*Source!I121),2)),2), 2)</f>
        <v>398.11</v>
      </c>
      <c r="T192">
        <f>Source!Y121</f>
        <v>4986.78</v>
      </c>
      <c r="U192">
        <f>ROUND((175/100)*ROUND((ROUND((Source!AE121*Source!AV121*Source!I121),2)),2), 2)</f>
        <v>7.67</v>
      </c>
      <c r="V192">
        <f>ROUND((157/100)*ROUND(ROUND((ROUND((Source!AE121*Source!AV121*Source!I121),2)*Source!BS121),2), 2), 2)</f>
        <v>170.67</v>
      </c>
    </row>
    <row r="193" spans="1:27">
      <c r="C193" s="29" t="str">
        <f>"Объем: "&amp;Source!I121&amp;"=53/"&amp;"100"</f>
        <v>Объем: 0,53=53/100</v>
      </c>
    </row>
    <row r="194" spans="1:27" ht="14.4">
      <c r="A194" s="22"/>
      <c r="B194" s="23"/>
      <c r="C194" s="23" t="s">
        <v>282</v>
      </c>
      <c r="D194" s="25"/>
      <c r="E194" s="10"/>
      <c r="F194" s="27">
        <f>Source!AO121</f>
        <v>702.01</v>
      </c>
      <c r="G194" s="26" t="str">
        <f>Source!DG121</f>
        <v/>
      </c>
      <c r="H194" s="10">
        <f>Source!AV121</f>
        <v>1</v>
      </c>
      <c r="I194" s="28">
        <f>ROUND((ROUND((Source!AF121*Source!AV121*Source!I121),2)),2)</f>
        <v>372.07</v>
      </c>
      <c r="J194" s="10">
        <f>IF(Source!BA121&lt;&gt; 0, Source!BA121, 1)</f>
        <v>24.82</v>
      </c>
      <c r="K194" s="28">
        <f>Source!S121</f>
        <v>9234.7800000000007</v>
      </c>
      <c r="W194">
        <f>I194</f>
        <v>372.07</v>
      </c>
    </row>
    <row r="195" spans="1:27" ht="14.4">
      <c r="A195" s="22"/>
      <c r="B195" s="23"/>
      <c r="C195" s="23" t="s">
        <v>283</v>
      </c>
      <c r="D195" s="25"/>
      <c r="E195" s="10"/>
      <c r="F195" s="27">
        <f>Source!AM121</f>
        <v>53.54</v>
      </c>
      <c r="G195" s="26" t="str">
        <f>Source!DE121</f>
        <v/>
      </c>
      <c r="H195" s="10">
        <f>Source!AV121</f>
        <v>1</v>
      </c>
      <c r="I195" s="28">
        <f>(ROUND((ROUND(((Source!ET121)*Source!AV121*Source!I121),2)),2)+ROUND((ROUND(((Source!AE121-(Source!EU121))*Source!AV121*Source!I121),2)),2))</f>
        <v>28.38</v>
      </c>
      <c r="J195" s="10">
        <f>IF(Source!BB121&lt;&gt; 0, Source!BB121, 1)</f>
        <v>9.06</v>
      </c>
      <c r="K195" s="28">
        <f>Source!Q121</f>
        <v>257.12</v>
      </c>
    </row>
    <row r="196" spans="1:27" ht="14.4">
      <c r="A196" s="22"/>
      <c r="B196" s="23"/>
      <c r="C196" s="23" t="s">
        <v>284</v>
      </c>
      <c r="D196" s="25"/>
      <c r="E196" s="10"/>
      <c r="F196" s="27">
        <f>Source!AN121</f>
        <v>8.27</v>
      </c>
      <c r="G196" s="26" t="str">
        <f>Source!DF121</f>
        <v/>
      </c>
      <c r="H196" s="10">
        <f>Source!AV121</f>
        <v>1</v>
      </c>
      <c r="I196" s="30">
        <f>ROUND((ROUND((Source!AE121*Source!AV121*Source!I121),2)),2)</f>
        <v>4.38</v>
      </c>
      <c r="J196" s="10">
        <f>IF(Source!BS121&lt;&gt; 0, Source!BS121, 1)</f>
        <v>24.82</v>
      </c>
      <c r="K196" s="30">
        <f>Source!R121</f>
        <v>108.71</v>
      </c>
      <c r="W196">
        <f>I196</f>
        <v>4.38</v>
      </c>
    </row>
    <row r="197" spans="1:27" ht="14.4">
      <c r="A197" s="22"/>
      <c r="B197" s="23"/>
      <c r="C197" s="23" t="s">
        <v>291</v>
      </c>
      <c r="D197" s="25"/>
      <c r="E197" s="10"/>
      <c r="F197" s="27">
        <f>Source!AL121</f>
        <v>3709.87</v>
      </c>
      <c r="G197" s="26" t="str">
        <f>Source!DD121</f>
        <v/>
      </c>
      <c r="H197" s="10">
        <f>Source!AW121</f>
        <v>1</v>
      </c>
      <c r="I197" s="28">
        <f>ROUND((ROUND((Source!AC121*Source!AW121*Source!I121),2)),2)</f>
        <v>1966.23</v>
      </c>
      <c r="J197" s="10">
        <f>IF(Source!BC121&lt;&gt; 0, Source!BC121, 1)</f>
        <v>5.62</v>
      </c>
      <c r="K197" s="28">
        <f>Source!P121</f>
        <v>11050.21</v>
      </c>
    </row>
    <row r="198" spans="1:27" ht="27.6">
      <c r="A198" s="22" t="str">
        <f>Source!E122</f>
        <v>15,1</v>
      </c>
      <c r="B198" s="23" t="str">
        <f>Source!F122</f>
        <v>1.5-3-499</v>
      </c>
      <c r="C198" s="23" t="s">
        <v>164</v>
      </c>
      <c r="D198" s="25" t="str">
        <f>Source!H122</f>
        <v>м3</v>
      </c>
      <c r="E198" s="10">
        <f>Source!I122</f>
        <v>1.537E-3</v>
      </c>
      <c r="F198" s="27">
        <f>Source!AK122</f>
        <v>2385.71</v>
      </c>
      <c r="G198" s="33" t="s">
        <v>3</v>
      </c>
      <c r="H198" s="10">
        <f>Source!AW122</f>
        <v>1</v>
      </c>
      <c r="I198" s="28">
        <f>ROUND((ROUND((Source!AC122*Source!AW122*Source!I122),2)),2)+(ROUND((ROUND(((Source!ET122)*Source!AV122*Source!I122),2)),2)+ROUND((ROUND(((Source!AE122-(Source!EU122))*Source!AV122*Source!I122),2)),2))+ROUND((ROUND((Source!AF122*Source!AV122*Source!I122),2)),2)</f>
        <v>3.67</v>
      </c>
      <c r="J198" s="10">
        <f>IF(Source!BC122&lt;&gt; 0, Source!BC122, 1)</f>
        <v>3.78</v>
      </c>
      <c r="K198" s="28">
        <f>Source!O122</f>
        <v>13.87</v>
      </c>
      <c r="Q198">
        <f>ROUND((Source!DN122/100)*ROUND((ROUND((Source!AF122*Source!AV122*Source!I122),2)),2), 2)</f>
        <v>0</v>
      </c>
      <c r="R198">
        <f>Source!X122</f>
        <v>0</v>
      </c>
      <c r="S198">
        <f>ROUND((Source!DO122/100)*ROUND((ROUND((Source!AF122*Source!AV122*Source!I122),2)),2), 2)</f>
        <v>0</v>
      </c>
      <c r="T198">
        <f>Source!Y122</f>
        <v>0</v>
      </c>
      <c r="U198">
        <f>ROUND((175/100)*ROUND((ROUND((Source!AE122*Source!AV122*Source!I122),2)),2), 2)</f>
        <v>0</v>
      </c>
      <c r="V198">
        <f>ROUND((157/100)*ROUND(ROUND((ROUND((Source!AE122*Source!AV122*Source!I122),2)*Source!BS122),2), 2), 2)</f>
        <v>0</v>
      </c>
      <c r="X198">
        <f>IF(Source!BI122&lt;=1,I198, 0)</f>
        <v>3.67</v>
      </c>
      <c r="Y198">
        <f>IF(Source!BI122=2,I198, 0)</f>
        <v>0</v>
      </c>
      <c r="Z198">
        <f>IF(Source!BI122=3,I198, 0)</f>
        <v>0</v>
      </c>
      <c r="AA198">
        <f>IF(Source!BI122=4,I198, 0)</f>
        <v>0</v>
      </c>
    </row>
    <row r="199" spans="1:27" ht="14.4">
      <c r="A199" s="22"/>
      <c r="B199" s="23"/>
      <c r="C199" s="23" t="s">
        <v>285</v>
      </c>
      <c r="D199" s="25" t="s">
        <v>286</v>
      </c>
      <c r="E199" s="10">
        <f>Source!DN121</f>
        <v>161</v>
      </c>
      <c r="F199" s="27"/>
      <c r="G199" s="26"/>
      <c r="H199" s="10"/>
      <c r="I199" s="28">
        <f>SUM(Q192:Q198)</f>
        <v>599.03</v>
      </c>
      <c r="J199" s="10">
        <f>Source!BZ121</f>
        <v>131</v>
      </c>
      <c r="K199" s="28">
        <f>SUM(R192:R198)</f>
        <v>12097.56</v>
      </c>
    </row>
    <row r="200" spans="1:27" ht="14.4">
      <c r="A200" s="22"/>
      <c r="B200" s="23"/>
      <c r="C200" s="23" t="s">
        <v>287</v>
      </c>
      <c r="D200" s="25" t="s">
        <v>286</v>
      </c>
      <c r="E200" s="10">
        <f>Source!DO121</f>
        <v>107</v>
      </c>
      <c r="F200" s="27"/>
      <c r="G200" s="26"/>
      <c r="H200" s="10"/>
      <c r="I200" s="28">
        <f>SUM(S192:S199)</f>
        <v>398.11</v>
      </c>
      <c r="J200" s="10">
        <f>Source!CA121</f>
        <v>54</v>
      </c>
      <c r="K200" s="28">
        <f>SUM(T192:T199)</f>
        <v>4986.78</v>
      </c>
    </row>
    <row r="201" spans="1:27" ht="14.4">
      <c r="A201" s="22"/>
      <c r="B201" s="23"/>
      <c r="C201" s="23" t="s">
        <v>288</v>
      </c>
      <c r="D201" s="25" t="s">
        <v>286</v>
      </c>
      <c r="E201" s="10">
        <f>175</f>
        <v>175</v>
      </c>
      <c r="F201" s="27"/>
      <c r="G201" s="26"/>
      <c r="H201" s="10"/>
      <c r="I201" s="28">
        <f>SUM(U192:U200)</f>
        <v>7.67</v>
      </c>
      <c r="J201" s="10">
        <f>157</f>
        <v>157</v>
      </c>
      <c r="K201" s="28">
        <f>SUM(V192:V200)</f>
        <v>170.67</v>
      </c>
    </row>
    <row r="202" spans="1:27" ht="14.4">
      <c r="A202" s="22"/>
      <c r="B202" s="23"/>
      <c r="C202" s="23" t="s">
        <v>289</v>
      </c>
      <c r="D202" s="25" t="s">
        <v>290</v>
      </c>
      <c r="E202" s="10">
        <f>Source!AQ121</f>
        <v>63.44</v>
      </c>
      <c r="F202" s="27"/>
      <c r="G202" s="26" t="str">
        <f>Source!DI121</f>
        <v/>
      </c>
      <c r="H202" s="10">
        <f>Source!AV121</f>
        <v>1</v>
      </c>
      <c r="I202" s="28">
        <f>Source!U121</f>
        <v>33.623199999999997</v>
      </c>
      <c r="J202" s="10"/>
      <c r="K202" s="28"/>
    </row>
    <row r="203" spans="1:27" ht="13.8">
      <c r="A203" s="32"/>
      <c r="B203" s="32"/>
      <c r="C203" s="32"/>
      <c r="D203" s="32"/>
      <c r="E203" s="32"/>
      <c r="F203" s="32"/>
      <c r="G203" s="32"/>
      <c r="H203" s="85">
        <f>I194+I195+I197+I199+I200+I201+SUM(I198:I198)</f>
        <v>3375.1600000000003</v>
      </c>
      <c r="I203" s="85"/>
      <c r="J203" s="85">
        <f>K194+K195+K197+K199+K200+K201+SUM(K198:K198)</f>
        <v>37810.99</v>
      </c>
      <c r="K203" s="85"/>
      <c r="O203" s="31">
        <f>I194+I195+I197+I199+I200+I201+SUM(I198:I198)</f>
        <v>3375.1600000000003</v>
      </c>
      <c r="P203" s="31">
        <f>K194+K195+K197+K199+K200+K201+SUM(K198:K198)</f>
        <v>37810.99</v>
      </c>
      <c r="X203">
        <f>IF(Source!BI121&lt;=1,I194+I195+I197+I199+I200+I201-0, 0)</f>
        <v>3371.4900000000002</v>
      </c>
      <c r="Y203">
        <f>IF(Source!BI121=2,I194+I195+I197+I199+I200+I201-0, 0)</f>
        <v>0</v>
      </c>
      <c r="Z203">
        <f>IF(Source!BI121=3,I194+I195+I197+I199+I200+I201-0, 0)</f>
        <v>0</v>
      </c>
      <c r="AA203">
        <f>IF(Source!BI121=4,I194+I195+I197+I199+I200+I201,0)</f>
        <v>0</v>
      </c>
    </row>
    <row r="205" spans="1:27" ht="13.8">
      <c r="A205" s="84" t="str">
        <f>CONCATENATE("Итого по разделу: ",IF(Source!G124&lt;&gt;"Новый раздел", Source!G124, ""))</f>
        <v>Итого по разделу: 28. Камень бортовой садовый</v>
      </c>
      <c r="B205" s="84"/>
      <c r="C205" s="84"/>
      <c r="D205" s="84"/>
      <c r="E205" s="84"/>
      <c r="F205" s="84"/>
      <c r="G205" s="84"/>
      <c r="H205" s="82">
        <f>SUM(O179:O204)</f>
        <v>3513.2500000000005</v>
      </c>
      <c r="I205" s="83"/>
      <c r="J205" s="82">
        <f>SUM(P179:P204)</f>
        <v>38688.369999999995</v>
      </c>
      <c r="K205" s="83"/>
    </row>
    <row r="206" spans="1:27" hidden="1">
      <c r="A206" t="s">
        <v>292</v>
      </c>
      <c r="I206">
        <f>SUM(AC179:AC205)</f>
        <v>0</v>
      </c>
      <c r="J206">
        <f>SUM(AD179:AD205)</f>
        <v>0</v>
      </c>
    </row>
    <row r="207" spans="1:27" hidden="1">
      <c r="A207" t="s">
        <v>293</v>
      </c>
      <c r="I207">
        <f>SUM(AE179:AE206)</f>
        <v>0</v>
      </c>
      <c r="J207">
        <f>SUM(AF179:AF206)</f>
        <v>0</v>
      </c>
    </row>
    <row r="209" spans="1:11" hidden="1">
      <c r="A209" t="s">
        <v>292</v>
      </c>
      <c r="I209" t="e">
        <f>SUM(#REF!)</f>
        <v>#REF!</v>
      </c>
      <c r="J209" t="e">
        <f>SUM(#REF!)</f>
        <v>#REF!</v>
      </c>
    </row>
    <row r="210" spans="1:11" hidden="1">
      <c r="A210" t="s">
        <v>293</v>
      </c>
      <c r="I210">
        <f>SUM(AE209:AE209)</f>
        <v>0</v>
      </c>
      <c r="J210">
        <f>SUM(AF209:AF209)</f>
        <v>0</v>
      </c>
    </row>
    <row r="212" spans="1:11" ht="13.8">
      <c r="A212" s="84" t="str">
        <f>CONCATENATE("Итого по локальной смете: ",IF(Source!G188&lt;&gt;"Новая локальная смета", Source!G188, ""))</f>
        <v xml:space="preserve">Итого по локальной смете: </v>
      </c>
      <c r="B212" s="84"/>
      <c r="C212" s="84"/>
      <c r="D212" s="84"/>
      <c r="E212" s="84"/>
      <c r="F212" s="84"/>
      <c r="G212" s="84"/>
      <c r="H212" s="82">
        <f>SUM(O34:O211)</f>
        <v>92331.290000000008</v>
      </c>
      <c r="I212" s="83"/>
      <c r="J212" s="82">
        <f>SUM(P34:P211)</f>
        <v>867879.57</v>
      </c>
      <c r="K212" s="83"/>
    </row>
    <row r="213" spans="1:11" hidden="1">
      <c r="A213" t="s">
        <v>292</v>
      </c>
      <c r="I213">
        <f>SUM(AC34:AC212)</f>
        <v>0</v>
      </c>
      <c r="J213">
        <f>SUM(AD34:AD212)</f>
        <v>0</v>
      </c>
    </row>
    <row r="214" spans="1:11" hidden="1">
      <c r="A214" t="s">
        <v>293</v>
      </c>
      <c r="I214">
        <f>SUM(AE34:AE213)</f>
        <v>0</v>
      </c>
      <c r="J214">
        <f>SUM(AF34:AF213)</f>
        <v>0</v>
      </c>
    </row>
    <row r="215" spans="1:11" hidden="1">
      <c r="A215" t="s">
        <v>292</v>
      </c>
      <c r="I215">
        <f>SUM(AC1:AC214)</f>
        <v>0</v>
      </c>
      <c r="J215">
        <f>SUM(AD1:AD214)</f>
        <v>0</v>
      </c>
    </row>
    <row r="216" spans="1:11" hidden="1">
      <c r="A216" t="s">
        <v>293</v>
      </c>
      <c r="I216">
        <f>SUM(AE1:AE215)</f>
        <v>0</v>
      </c>
      <c r="J216">
        <f>SUM(AF1:AF215)</f>
        <v>0</v>
      </c>
    </row>
    <row r="217" spans="1:11" ht="13.8">
      <c r="C217" s="80" t="str">
        <f>Source!H247</f>
        <v>НДС 20%</v>
      </c>
      <c r="D217" s="80"/>
      <c r="E217" s="80"/>
      <c r="F217" s="80"/>
      <c r="G217" s="80"/>
      <c r="H217" s="80"/>
      <c r="I217" s="80"/>
      <c r="J217" s="81">
        <f>J212*0.2</f>
        <v>173575.91399999999</v>
      </c>
      <c r="K217" s="81"/>
    </row>
    <row r="218" spans="1:11" ht="13.8">
      <c r="C218" s="80" t="str">
        <f>Source!H248</f>
        <v>Всего</v>
      </c>
      <c r="D218" s="80"/>
      <c r="E218" s="80"/>
      <c r="F218" s="80"/>
      <c r="G218" s="80"/>
      <c r="H218" s="80"/>
      <c r="I218" s="80"/>
      <c r="J218" s="81">
        <f>J212+J217</f>
        <v>1041455.4839999999</v>
      </c>
      <c r="K218" s="81"/>
    </row>
    <row r="221" spans="1:11" ht="13.8">
      <c r="A221" s="78" t="s">
        <v>295</v>
      </c>
      <c r="B221" s="78"/>
      <c r="C221" s="35" t="str">
        <f>IF(Source!AC12&lt;&gt;"", Source!AC12," ")</f>
        <v xml:space="preserve"> </v>
      </c>
      <c r="D221" s="35"/>
      <c r="E221" s="35"/>
      <c r="F221" s="35"/>
      <c r="G221" s="35"/>
      <c r="H221" s="11" t="str">
        <f>IF(Source!AB12&lt;&gt;"", Source!AB12," ")</f>
        <v xml:space="preserve"> </v>
      </c>
      <c r="I221" s="11"/>
      <c r="J221" s="11"/>
      <c r="K221" s="11"/>
    </row>
    <row r="222" spans="1:11" ht="13.8">
      <c r="A222" s="11"/>
      <c r="B222" s="11"/>
      <c r="C222" s="79" t="s">
        <v>296</v>
      </c>
      <c r="D222" s="79"/>
      <c r="E222" s="79"/>
      <c r="F222" s="79"/>
      <c r="G222" s="79"/>
      <c r="H222" s="11"/>
      <c r="I222" s="11"/>
      <c r="J222" s="11"/>
      <c r="K222" s="11"/>
    </row>
    <row r="223" spans="1:11" ht="13.8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</row>
    <row r="224" spans="1:11" ht="13.8">
      <c r="A224" s="78" t="s">
        <v>297</v>
      </c>
      <c r="B224" s="78"/>
      <c r="C224" s="35" t="str">
        <f>IF(Source!AE12&lt;&gt;"", Source!AE12," ")</f>
        <v xml:space="preserve"> </v>
      </c>
      <c r="D224" s="35"/>
      <c r="E224" s="35"/>
      <c r="F224" s="35"/>
      <c r="G224" s="35"/>
      <c r="H224" s="11" t="str">
        <f>IF(Source!AD12&lt;&gt;"", Source!AD12," ")</f>
        <v xml:space="preserve"> </v>
      </c>
      <c r="I224" s="11"/>
      <c r="J224" s="11"/>
      <c r="K224" s="11"/>
    </row>
    <row r="225" spans="1:11" ht="13.8">
      <c r="A225" s="11"/>
      <c r="B225" s="11"/>
      <c r="C225" s="79" t="s">
        <v>296</v>
      </c>
      <c r="D225" s="79"/>
      <c r="E225" s="79"/>
      <c r="F225" s="79"/>
      <c r="G225" s="79"/>
      <c r="H225" s="11"/>
      <c r="I225" s="11"/>
      <c r="J225" s="11"/>
      <c r="K225" s="11"/>
    </row>
  </sheetData>
  <mergeCells count="77">
    <mergeCell ref="B3:E3"/>
    <mergeCell ref="G3:K3"/>
    <mergeCell ref="B4:E4"/>
    <mergeCell ref="G4:K4"/>
    <mergeCell ref="B6:E6"/>
    <mergeCell ref="G6:K6"/>
    <mergeCell ref="F24:H24"/>
    <mergeCell ref="B7:E7"/>
    <mergeCell ref="G7:K7"/>
    <mergeCell ref="A10:K10"/>
    <mergeCell ref="A11:K11"/>
    <mergeCell ref="A13:K13"/>
    <mergeCell ref="A14:K14"/>
    <mergeCell ref="A16:K16"/>
    <mergeCell ref="A18:K18"/>
    <mergeCell ref="A19:K19"/>
    <mergeCell ref="A21:K21"/>
    <mergeCell ref="F23:H23"/>
    <mergeCell ref="J62:K62"/>
    <mergeCell ref="H62:I62"/>
    <mergeCell ref="F25:H25"/>
    <mergeCell ref="F26:H26"/>
    <mergeCell ref="F27:H27"/>
    <mergeCell ref="F28:H28"/>
    <mergeCell ref="F30:H30"/>
    <mergeCell ref="A31:K31"/>
    <mergeCell ref="A35:K35"/>
    <mergeCell ref="J45:K45"/>
    <mergeCell ref="H45:I45"/>
    <mergeCell ref="J52:K52"/>
    <mergeCell ref="H52:I52"/>
    <mergeCell ref="A111:K111"/>
    <mergeCell ref="J69:K69"/>
    <mergeCell ref="H69:I69"/>
    <mergeCell ref="J81:K81"/>
    <mergeCell ref="H81:I81"/>
    <mergeCell ref="J93:K93"/>
    <mergeCell ref="H93:I93"/>
    <mergeCell ref="J105:K105"/>
    <mergeCell ref="H105:I105"/>
    <mergeCell ref="J107:K107"/>
    <mergeCell ref="H107:I107"/>
    <mergeCell ref="A107:G107"/>
    <mergeCell ref="J121:K121"/>
    <mergeCell ref="H121:I121"/>
    <mergeCell ref="J128:K128"/>
    <mergeCell ref="H128:I128"/>
    <mergeCell ref="J135:K135"/>
    <mergeCell ref="H135:I135"/>
    <mergeCell ref="J147:K147"/>
    <mergeCell ref="H147:I147"/>
    <mergeCell ref="J159:K159"/>
    <mergeCell ref="H159:I159"/>
    <mergeCell ref="J173:K173"/>
    <mergeCell ref="H173:I173"/>
    <mergeCell ref="J175:K175"/>
    <mergeCell ref="H175:I175"/>
    <mergeCell ref="A175:G175"/>
    <mergeCell ref="A179:K179"/>
    <mergeCell ref="J191:K191"/>
    <mergeCell ref="H191:I191"/>
    <mergeCell ref="J203:K203"/>
    <mergeCell ref="H203:I203"/>
    <mergeCell ref="J205:K205"/>
    <mergeCell ref="H205:I205"/>
    <mergeCell ref="A205:G205"/>
    <mergeCell ref="J217:K217"/>
    <mergeCell ref="C218:I218"/>
    <mergeCell ref="J218:K218"/>
    <mergeCell ref="J212:K212"/>
    <mergeCell ref="H212:I212"/>
    <mergeCell ref="A212:G212"/>
    <mergeCell ref="A221:B221"/>
    <mergeCell ref="C222:G222"/>
    <mergeCell ref="A224:B224"/>
    <mergeCell ref="C225:G225"/>
    <mergeCell ref="C217:I217"/>
  </mergeCells>
  <pageMargins left="0.4" right="0.2" top="0.2" bottom="0.4" header="0.2" footer="0.2"/>
  <pageSetup paperSize="9" scale="64" fitToHeight="0" orientation="portrait" verticalDpi="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workbookViewId="0"/>
  </sheetViews>
  <sheetFormatPr defaultRowHeight="13.2"/>
  <cols>
    <col min="1" max="1" width="6.77734375" customWidth="1"/>
    <col min="2" max="2" width="75.77734375" customWidth="1"/>
    <col min="3" max="5" width="15.77734375" customWidth="1"/>
    <col min="30" max="31" width="0" hidden="1" customWidth="1"/>
  </cols>
  <sheetData>
    <row r="1" spans="1:5">
      <c r="A1" s="9" t="str">
        <f>Source!B1</f>
        <v>Smeta.RU  (495) 974-1589</v>
      </c>
    </row>
    <row r="2" spans="1:5" ht="13.8">
      <c r="A2" s="11"/>
      <c r="B2" s="11"/>
      <c r="C2" s="11"/>
      <c r="D2" s="11"/>
      <c r="E2" s="11"/>
    </row>
    <row r="3" spans="1:5" ht="15.6">
      <c r="A3" s="100" t="str">
        <f>CONCATENATE("Ведомость объемов работ ", IF(Source!AN15&lt;&gt;"", Source!AN15," "))</f>
        <v xml:space="preserve">Ведомость объемов работ  </v>
      </c>
      <c r="B3" s="100"/>
      <c r="C3" s="100"/>
      <c r="D3" s="100"/>
      <c r="E3" s="11"/>
    </row>
    <row r="4" spans="1:5" ht="13.8">
      <c r="A4" s="101" t="str">
        <f>CONCATENATE("На капитальный ремонт ", Source!G12)</f>
        <v>На капитальный ремонт Таганка Корт СМР</v>
      </c>
      <c r="B4" s="101"/>
      <c r="C4" s="101"/>
      <c r="D4" s="101"/>
      <c r="E4" s="11"/>
    </row>
    <row r="5" spans="1:5" ht="13.8">
      <c r="A5" s="11"/>
      <c r="B5" s="11"/>
      <c r="C5" s="11"/>
      <c r="D5" s="11"/>
      <c r="E5" s="11"/>
    </row>
    <row r="6" spans="1:5" ht="27.6">
      <c r="A6" s="20" t="s">
        <v>298</v>
      </c>
      <c r="B6" s="20" t="s">
        <v>272</v>
      </c>
      <c r="C6" s="20" t="s">
        <v>273</v>
      </c>
      <c r="D6" s="20" t="s">
        <v>299</v>
      </c>
      <c r="E6" s="21" t="s">
        <v>300</v>
      </c>
    </row>
    <row r="7" spans="1:5" ht="13.8">
      <c r="A7" s="36">
        <v>1</v>
      </c>
      <c r="B7" s="36">
        <v>2</v>
      </c>
      <c r="C7" s="36">
        <v>3</v>
      </c>
      <c r="D7" s="36">
        <v>4</v>
      </c>
      <c r="E7" s="37">
        <v>5</v>
      </c>
    </row>
    <row r="8" spans="1:5" ht="16.8">
      <c r="A8" s="102" t="str">
        <f>CONCATENATE("Локальная смета: ", Source!G20)</f>
        <v>Локальная смета: Новая локальная смета</v>
      </c>
      <c r="B8" s="102"/>
      <c r="C8" s="102"/>
      <c r="D8" s="102"/>
      <c r="E8" s="102"/>
    </row>
    <row r="9" spans="1:5" ht="16.8">
      <c r="A9" s="102" t="str">
        <f>CONCATENATE("Раздел: ", Source!G24)</f>
        <v>Раздел: 10.1. Устройство новых оснований площадок (Корт)</v>
      </c>
      <c r="B9" s="102"/>
      <c r="C9" s="102"/>
      <c r="D9" s="102"/>
      <c r="E9" s="102"/>
    </row>
    <row r="10" spans="1:5" ht="27.6">
      <c r="A10" s="40" t="str">
        <f>Source!E28</f>
        <v>1</v>
      </c>
      <c r="B10" s="41" t="str">
        <f>Source!G28</f>
        <v>Разработка грунта с погрузкой на автомобили-самосвалы экскаваторами с ковшом вместимостью 0,5 м3 группа грунтов 1-3</v>
      </c>
      <c r="C10" s="42" t="str">
        <f>Source!H28</f>
        <v>100 м3 грунта</v>
      </c>
      <c r="D10" s="43">
        <f>Source!I28</f>
        <v>2.1258720000000002</v>
      </c>
      <c r="E10" s="41"/>
    </row>
    <row r="11" spans="1:5" ht="27.6">
      <c r="A11" s="40" t="str">
        <f>Source!E29</f>
        <v>2</v>
      </c>
      <c r="B11" s="41" t="str">
        <f>Source!G29</f>
        <v>Разработка грунта вручную в траншеях глубиной до 2 м без креплений с откосами группа грунтов 1-3</v>
      </c>
      <c r="C11" s="42" t="str">
        <f>Source!H29</f>
        <v>100 м3 грунта</v>
      </c>
      <c r="D11" s="43">
        <f>Source!I29</f>
        <v>0.236208</v>
      </c>
      <c r="E11" s="41"/>
    </row>
    <row r="12" spans="1:5" ht="27.6">
      <c r="A12" s="40" t="str">
        <f>Source!E30</f>
        <v>3</v>
      </c>
      <c r="B12" s="41" t="str">
        <f>Source!G30</f>
        <v>Разработка грунта с погрузкой на автомобили-самосвалы экскаваторами с ковшом вместимостью 0,5 м3 группа грунтов 1-3</v>
      </c>
      <c r="C12" s="42" t="str">
        <f>Source!H30</f>
        <v>100 м3 грунта</v>
      </c>
      <c r="D12" s="43">
        <f>Source!I30</f>
        <v>1.9132848</v>
      </c>
      <c r="E12" s="41"/>
    </row>
    <row r="13" spans="1:5" ht="13.8">
      <c r="A13" s="40" t="str">
        <f>Source!E31</f>
        <v>4</v>
      </c>
      <c r="B13" s="41" t="str">
        <f>Source!G31</f>
        <v>Погрузка грунта вручную в автомобили-самосвалы с выгрузкой</v>
      </c>
      <c r="C13" s="42" t="str">
        <f>Source!H31</f>
        <v>100 м3 грунта</v>
      </c>
      <c r="D13" s="43">
        <f>Source!I31</f>
        <v>2.3620800000000001E-2</v>
      </c>
      <c r="E13" s="41"/>
    </row>
    <row r="14" spans="1:5" ht="55.2">
      <c r="A14" s="40" t="str">
        <f>Source!E32</f>
        <v>5</v>
      </c>
      <c r="B14" s="41" t="str">
        <f>Source!G32</f>
        <v>Устройство подстилающих и выравнивающих слоев оснований из песка</v>
      </c>
      <c r="C14" s="42" t="str">
        <f>Source!H32</f>
        <v>100 м3 материала основания (в плотном теле)</v>
      </c>
      <c r="D14" s="43">
        <f>Source!I32</f>
        <v>1.1248</v>
      </c>
      <c r="E14" s="41"/>
    </row>
    <row r="15" spans="1:5" ht="13.8">
      <c r="A15" s="40" t="str">
        <f>Source!E33</f>
        <v>5,1</v>
      </c>
      <c r="B15" s="41" t="str">
        <f>Source!G33</f>
        <v>Песок для строительных работ, рядовой</v>
      </c>
      <c r="C15" s="42" t="str">
        <f>Source!H33</f>
        <v>м3</v>
      </c>
      <c r="D15" s="43">
        <f>Source!I33</f>
        <v>123.72800000000001</v>
      </c>
      <c r="E15" s="41"/>
    </row>
    <row r="16" spans="1:5" ht="55.2">
      <c r="A16" s="40" t="str">
        <f>Source!E34</f>
        <v>6</v>
      </c>
      <c r="B16" s="41" t="str">
        <f>Source!G34</f>
        <v>Устройство подстилающих и выравнивающих слоев оснований из щебня</v>
      </c>
      <c r="C16" s="42" t="str">
        <f>Source!H34</f>
        <v>100 м3 материала основания (в плотном теле)</v>
      </c>
      <c r="D16" s="43">
        <f>Source!I34</f>
        <v>0.84360000000000002</v>
      </c>
      <c r="E16" s="41"/>
    </row>
    <row r="17" spans="1:5" ht="27.6">
      <c r="A17" s="40" t="str">
        <f>Source!E35</f>
        <v>6,1</v>
      </c>
      <c r="B17" s="41" t="str">
        <f>Source!G35</f>
        <v>Щебень из естественного камня для дорожных работ, марка 600 - 400, фракция 20-40 мм</v>
      </c>
      <c r="C17" s="42" t="str">
        <f>Source!H35</f>
        <v>м3</v>
      </c>
      <c r="D17" s="43">
        <f>Source!I35</f>
        <v>106.2936</v>
      </c>
      <c r="E17" s="41"/>
    </row>
    <row r="18" spans="1:5" ht="27.6">
      <c r="A18" s="40" t="str">
        <f>Source!E36</f>
        <v>7</v>
      </c>
      <c r="B18" s="41" t="str">
        <f>Source!G36</f>
        <v>Устройство асфальтобетонных покрытий дорожек и тротуаров двухслойных верхний слой из песчаной асфальтобетонной смеси толщиной 3 см</v>
      </c>
      <c r="C18" s="42" t="str">
        <f>Source!H36</f>
        <v>100 м2 покрытия</v>
      </c>
      <c r="D18" s="43">
        <f>Source!I36</f>
        <v>5.6239999999999997</v>
      </c>
      <c r="E18" s="41"/>
    </row>
    <row r="19" spans="1:5" ht="13.8">
      <c r="A19" s="40" t="str">
        <f>Source!E37</f>
        <v>7,1</v>
      </c>
      <c r="B19" s="41" t="str">
        <f>Source!G37</f>
        <v>Смеси асфальтобетонные дорожные горячие песчаные, тип Д, марка II</v>
      </c>
      <c r="C19" s="42" t="str">
        <f>Source!H37</f>
        <v>т</v>
      </c>
      <c r="D19" s="43">
        <f>Source!I37</f>
        <v>62.671044000000002</v>
      </c>
      <c r="E19" s="41"/>
    </row>
    <row r="20" spans="1:5" ht="16.8">
      <c r="A20" s="102" t="str">
        <f>CONCATENATE("Раздел: ", Source!G69)</f>
        <v>Раздел: 27.1 Плиточное покрытие</v>
      </c>
      <c r="B20" s="102"/>
      <c r="C20" s="102"/>
      <c r="D20" s="102"/>
      <c r="E20" s="102"/>
    </row>
    <row r="21" spans="1:5" ht="27.6">
      <c r="A21" s="40" t="str">
        <f>Source!E73</f>
        <v>8</v>
      </c>
      <c r="B21" s="41" t="str">
        <f>Source!G73</f>
        <v>Разработка грунта с погрузкой на автомобили-самосвалы экскаваторами с ковшом вместимостью 0,5 м3 группа грунтов 1-3</v>
      </c>
      <c r="C21" s="42" t="str">
        <f>Source!H73</f>
        <v>100 м3 грунта</v>
      </c>
      <c r="D21" s="43">
        <f>Source!I73</f>
        <v>0.30186000000000002</v>
      </c>
      <c r="E21" s="41"/>
    </row>
    <row r="22" spans="1:5" ht="27.6">
      <c r="A22" s="40" t="str">
        <f>Source!E74</f>
        <v>9</v>
      </c>
      <c r="B22" s="41" t="str">
        <f>Source!G74</f>
        <v>Разработка грунта вручную в траншеях глубиной до 2 м без креплений с откосами группа грунтов 1-3</v>
      </c>
      <c r="C22" s="42" t="str">
        <f>Source!H74</f>
        <v>100 м3 грунта</v>
      </c>
      <c r="D22" s="43">
        <f>Source!I74</f>
        <v>3.354E-2</v>
      </c>
      <c r="E22" s="41"/>
    </row>
    <row r="23" spans="1:5" ht="13.8">
      <c r="A23" s="40" t="str">
        <f>Source!E75</f>
        <v>10</v>
      </c>
      <c r="B23" s="41" t="str">
        <f>Source!G75</f>
        <v>Погрузка грунта вручную в автомобили-самосвалы с выгрузкой</v>
      </c>
      <c r="C23" s="42" t="str">
        <f>Source!H75</f>
        <v>100 м3 грунта</v>
      </c>
      <c r="D23" s="43">
        <f>Source!I75</f>
        <v>3.354E-2</v>
      </c>
      <c r="E23" s="41"/>
    </row>
    <row r="24" spans="1:5" ht="55.2">
      <c r="A24" s="40" t="str">
        <f>Source!E76</f>
        <v>11</v>
      </c>
      <c r="B24" s="41" t="str">
        <f>Source!G76</f>
        <v>Устройство подстилающих и выравнивающих слоев оснований из песка</v>
      </c>
      <c r="C24" s="42" t="str">
        <f>Source!H76</f>
        <v>100 м3 материала основания (в плотном теле)</v>
      </c>
      <c r="D24" s="43">
        <f>Source!I76</f>
        <v>0.156</v>
      </c>
      <c r="E24" s="41"/>
    </row>
    <row r="25" spans="1:5" ht="13.8">
      <c r="A25" s="40" t="str">
        <f>Source!E77</f>
        <v>11,1</v>
      </c>
      <c r="B25" s="41" t="str">
        <f>Source!G77</f>
        <v>Песок для строительных работ, рядовой</v>
      </c>
      <c r="C25" s="42" t="str">
        <f>Source!H77</f>
        <v>м3</v>
      </c>
      <c r="D25" s="43">
        <f>Source!I77</f>
        <v>17.16</v>
      </c>
      <c r="E25" s="41"/>
    </row>
    <row r="26" spans="1:5" ht="55.2">
      <c r="A26" s="40" t="str">
        <f>Source!E78</f>
        <v>12</v>
      </c>
      <c r="B26" s="41" t="str">
        <f>Source!G78</f>
        <v>Устройство подстилающих и выравнивающих слоев оснований из щебня</v>
      </c>
      <c r="C26" s="42" t="str">
        <f>Source!H78</f>
        <v>100 м3 материала основания (в плотном теле)</v>
      </c>
      <c r="D26" s="43">
        <f>Source!I78</f>
        <v>9.3600000000000003E-2</v>
      </c>
      <c r="E26" s="41"/>
    </row>
    <row r="27" spans="1:5" ht="27.6">
      <c r="A27" s="40" t="str">
        <f>Source!E79</f>
        <v>12,1</v>
      </c>
      <c r="B27" s="41" t="str">
        <f>Source!G79</f>
        <v>Щебень из естественного камня для дорожных работ, марка 600 - 400, фракция 20-40 мм</v>
      </c>
      <c r="C27" s="42" t="str">
        <f>Source!H79</f>
        <v>м3</v>
      </c>
      <c r="D27" s="43">
        <f>Source!I79</f>
        <v>11.7936</v>
      </c>
      <c r="E27" s="41"/>
    </row>
    <row r="28" spans="1:5" ht="27.6">
      <c r="A28" s="40" t="str">
        <f>Source!E80</f>
        <v>13</v>
      </c>
      <c r="B28" s="41" t="str">
        <f>Source!G80</f>
        <v>Устройство покрытий тротуаров из бетонной плитки типа "Брусчатка" рядовым или паркетным мощением</v>
      </c>
      <c r="C28" s="42" t="str">
        <f>Source!H80</f>
        <v>100 м2</v>
      </c>
      <c r="D28" s="43">
        <f>Source!I80</f>
        <v>0.78</v>
      </c>
      <c r="E28" s="41"/>
    </row>
    <row r="29" spans="1:5" ht="27.6">
      <c r="A29" s="40" t="str">
        <f>Source!E81</f>
        <v>13,1</v>
      </c>
      <c r="B29" s="41" t="str">
        <f>Source!G81</f>
        <v>Диск отрезной с алмазным покрытием, диаметр 230 мм, высота сегмента 7 мм</v>
      </c>
      <c r="C29" s="42" t="str">
        <f>Source!H81</f>
        <v>шт.</v>
      </c>
      <c r="D29" s="43">
        <f>Source!I81</f>
        <v>1.17</v>
      </c>
      <c r="E29" s="41"/>
    </row>
    <row r="30" spans="1:5" ht="13.8">
      <c r="A30" s="40" t="str">
        <f>Source!E82</f>
        <v>13,2</v>
      </c>
      <c r="B30" s="41" t="str">
        <f>Source!G82</f>
        <v>Плиты бетонные тротуарные, толщина 70 мм, разного цвета</v>
      </c>
      <c r="C30" s="42" t="str">
        <f>Source!H82</f>
        <v>м2</v>
      </c>
      <c r="D30" s="43">
        <f>Source!I82</f>
        <v>79.210560000000001</v>
      </c>
      <c r="E30" s="41"/>
    </row>
    <row r="31" spans="1:5" ht="27.6">
      <c r="A31" s="40" t="str">
        <f>Source!E83</f>
        <v>13,3</v>
      </c>
      <c r="B31" s="41" t="str">
        <f>Source!G83</f>
        <v>Смеси сухие монтажно-кладочные цементно-песчаные, В7,5 (М100), F50, крупность заполнителя не более 3,5 мм</v>
      </c>
      <c r="C31" s="42" t="str">
        <f>Source!H83</f>
        <v>т</v>
      </c>
      <c r="D31" s="43">
        <f>Source!I83</f>
        <v>1.7550000000000001</v>
      </c>
      <c r="E31" s="41"/>
    </row>
    <row r="32" spans="1:5" ht="16.8">
      <c r="A32" s="102" t="str">
        <f>CONCATENATE("Раздел: ", Source!G115)</f>
        <v>Раздел: 28. Камень бортовой садовый</v>
      </c>
      <c r="B32" s="102"/>
      <c r="C32" s="102"/>
      <c r="D32" s="102"/>
      <c r="E32" s="102"/>
    </row>
    <row r="33" spans="1:5" ht="55.2">
      <c r="A33" s="40" t="str">
        <f>Source!E119</f>
        <v>14</v>
      </c>
      <c r="B33" s="41" t="str">
        <f>Source!G119</f>
        <v>Устройство подстилающих и выравнивающих слоев оснований из песка</v>
      </c>
      <c r="C33" s="42" t="str">
        <f>Source!H119</f>
        <v>100 м3 материала основания (в плотном теле)</v>
      </c>
      <c r="D33" s="43">
        <f>Source!I119</f>
        <v>1.06E-2</v>
      </c>
      <c r="E33" s="41"/>
    </row>
    <row r="34" spans="1:5" ht="13.8">
      <c r="A34" s="40" t="str">
        <f>Source!E120</f>
        <v>14,1</v>
      </c>
      <c r="B34" s="41" t="str">
        <f>Source!G120</f>
        <v>Песок для строительных работ, рядовой</v>
      </c>
      <c r="C34" s="42" t="str">
        <f>Source!H120</f>
        <v>м3</v>
      </c>
      <c r="D34" s="43">
        <f>Source!I120</f>
        <v>1.1659999999999999</v>
      </c>
      <c r="E34" s="41"/>
    </row>
    <row r="35" spans="1:5" ht="41.4">
      <c r="A35" s="40" t="str">
        <f>Source!E121</f>
        <v>15</v>
      </c>
      <c r="B35" s="41" t="str">
        <f>Source!G121</f>
        <v>Установка бортовых камней бетонных газонных и садовых при других видах покрытий</v>
      </c>
      <c r="C35" s="42" t="str">
        <f>Source!H121</f>
        <v>100 м бортового камня</v>
      </c>
      <c r="D35" s="43">
        <f>Source!I121</f>
        <v>0.53</v>
      </c>
      <c r="E35" s="41"/>
    </row>
    <row r="36" spans="1:5" ht="13.8">
      <c r="A36" s="40" t="str">
        <f>Source!E122</f>
        <v>15,1</v>
      </c>
      <c r="B36" s="41" t="str">
        <f>Source!G122</f>
        <v>Камни бетонные бортовые, марка БР 100.20.8</v>
      </c>
      <c r="C36" s="42" t="str">
        <f>Source!H122</f>
        <v>м3</v>
      </c>
      <c r="D36" s="43">
        <f>Source!I122</f>
        <v>1.537E-3</v>
      </c>
      <c r="E36" s="41"/>
    </row>
    <row r="37" spans="1:5" ht="16.8">
      <c r="A37" s="99" t="str">
        <f>CONCATENATE("Раздел: ", Source!G154)</f>
        <v xml:space="preserve">Раздел: </v>
      </c>
      <c r="B37" s="99"/>
      <c r="C37" s="99"/>
      <c r="D37" s="99"/>
      <c r="E37" s="99"/>
    </row>
    <row r="40" spans="1:5" ht="13.8">
      <c r="A40" s="34" t="s">
        <v>301</v>
      </c>
      <c r="B40" s="34"/>
      <c r="C40" s="34" t="s">
        <v>302</v>
      </c>
      <c r="D40" s="34"/>
      <c r="E40" s="34"/>
    </row>
  </sheetData>
  <mergeCells count="7">
    <mergeCell ref="A37:E37"/>
    <mergeCell ref="A3:D3"/>
    <mergeCell ref="A4:D4"/>
    <mergeCell ref="A8:E8"/>
    <mergeCell ref="A9:E9"/>
    <mergeCell ref="A20:E20"/>
    <mergeCell ref="A32:E32"/>
  </mergeCells>
  <pageMargins left="0.4" right="0.2" top="0.2" bottom="0.4" header="0.2" footer="0.2"/>
  <pageSetup paperSize="9" scale="75" fitToHeight="0" orientation="portrait" verticalDpi="0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>
      <selection sqref="A1:D1"/>
    </sheetView>
  </sheetViews>
  <sheetFormatPr defaultRowHeight="13.2"/>
  <cols>
    <col min="1" max="1" width="5.77734375" customWidth="1"/>
    <col min="2" max="2" width="20.77734375" customWidth="1"/>
    <col min="3" max="3" width="40.77734375" customWidth="1"/>
    <col min="4" max="10" width="12.77734375" customWidth="1"/>
    <col min="30" max="33" width="0" hidden="1" customWidth="1"/>
  </cols>
  <sheetData>
    <row r="1" spans="1:10">
      <c r="A1" s="114" t="str">
        <f>SourceObSm!B1</f>
        <v>Smeta.RU  (495) 974-1589</v>
      </c>
      <c r="B1" s="114"/>
      <c r="C1" s="114"/>
      <c r="D1" s="114"/>
    </row>
    <row r="2" spans="1:10" ht="13.8">
      <c r="A2" s="44"/>
      <c r="B2" s="44"/>
      <c r="C2" s="44"/>
      <c r="D2" s="44"/>
      <c r="E2" s="44"/>
      <c r="F2" s="44"/>
      <c r="G2" s="44"/>
      <c r="H2" s="44"/>
      <c r="I2" s="11"/>
      <c r="J2" s="45" t="s">
        <v>303</v>
      </c>
    </row>
    <row r="3" spans="1:10" ht="13.8">
      <c r="A3" s="46"/>
      <c r="B3" s="11"/>
      <c r="C3" s="11"/>
      <c r="D3" s="11"/>
      <c r="E3" s="11"/>
      <c r="F3" s="11"/>
      <c r="G3" s="11"/>
      <c r="H3" s="11"/>
      <c r="I3" s="11"/>
      <c r="J3" s="11"/>
    </row>
    <row r="4" spans="1:10" ht="15.6">
      <c r="A4" s="47"/>
      <c r="B4" s="115" t="str">
        <f>IF(SourceObSm!G4&lt;&gt;"",SourceObSm!G4,IF(SourceObSm!F4&lt;&gt;"",SourceObSm!F4,IF(SourceObSm!G5&lt;&gt;"",SourceObSm!G5,IF(SourceObSm!F5&lt;&gt;"",SourceObSm!F5,IF(SourceObSm!G6&lt;&gt;"",SourceObSm!G6,IF(SourceObSm!G12&lt;&gt;"",SourceObSm!G12," "))))))</f>
        <v>Таганка Корт СМР</v>
      </c>
      <c r="C4" s="115"/>
      <c r="D4" s="115"/>
      <c r="E4" s="115"/>
      <c r="F4" s="115"/>
      <c r="G4" s="115"/>
      <c r="H4" s="115"/>
      <c r="I4" s="115"/>
      <c r="J4" s="47"/>
    </row>
    <row r="5" spans="1:10" ht="13.8">
      <c r="A5" s="47"/>
      <c r="B5" s="116" t="s">
        <v>304</v>
      </c>
      <c r="C5" s="116"/>
      <c r="D5" s="116"/>
      <c r="E5" s="116"/>
      <c r="F5" s="116"/>
      <c r="G5" s="116"/>
      <c r="H5" s="116"/>
      <c r="I5" s="116"/>
      <c r="J5" s="47"/>
    </row>
    <row r="6" spans="1:10" ht="13.8">
      <c r="A6" s="46"/>
      <c r="B6" s="11"/>
      <c r="C6" s="11"/>
      <c r="D6" s="11"/>
      <c r="E6" s="11"/>
      <c r="F6" s="11"/>
      <c r="G6" s="11"/>
      <c r="H6" s="11"/>
      <c r="I6" s="11"/>
      <c r="J6" s="11"/>
    </row>
    <row r="7" spans="1:10" ht="13.8">
      <c r="A7" s="48"/>
      <c r="B7" s="48"/>
      <c r="C7" s="48"/>
      <c r="D7" s="11"/>
      <c r="E7" s="11"/>
      <c r="F7" s="11"/>
      <c r="G7" s="11"/>
      <c r="H7" s="11"/>
      <c r="I7" s="11"/>
      <c r="J7" s="11"/>
    </row>
    <row r="8" spans="1:10" ht="15.6">
      <c r="A8" s="117" t="s">
        <v>305</v>
      </c>
      <c r="B8" s="117"/>
      <c r="C8" s="117"/>
      <c r="D8" s="118" t="str">
        <f>SourceObSm!F12</f>
        <v>Новый объект</v>
      </c>
      <c r="E8" s="118"/>
      <c r="F8" s="118"/>
      <c r="G8" s="118"/>
      <c r="H8" s="118"/>
      <c r="I8" s="118"/>
      <c r="J8" s="16"/>
    </row>
    <row r="9" spans="1:10" ht="13.8">
      <c r="A9" s="48"/>
      <c r="B9" s="48"/>
      <c r="C9" s="49"/>
      <c r="D9" s="79" t="s">
        <v>306</v>
      </c>
      <c r="E9" s="79"/>
      <c r="F9" s="79"/>
      <c r="G9" s="79"/>
      <c r="H9" s="79"/>
      <c r="I9" s="79"/>
      <c r="J9" s="49"/>
    </row>
    <row r="10" spans="1:10" ht="13.8">
      <c r="A10" s="46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.6">
      <c r="A11" s="112" t="s">
        <v>307</v>
      </c>
      <c r="B11" s="112"/>
      <c r="C11" s="112"/>
      <c r="D11" s="113" t="str">
        <f>IF(SourceObSm!G12&lt;&gt;"",SourceObSm!G12,IF(SourceObSm!F12&lt;&gt;"",SourceObSm!F12," "))</f>
        <v>Таганка Корт СМР</v>
      </c>
      <c r="E11" s="113"/>
      <c r="F11" s="113"/>
      <c r="G11" s="113"/>
      <c r="H11" s="113"/>
      <c r="I11" s="113"/>
      <c r="J11" s="47"/>
    </row>
    <row r="12" spans="1:10" ht="13.8">
      <c r="A12" s="46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3.8">
      <c r="A13" s="112" t="s">
        <v>317</v>
      </c>
      <c r="B13" s="112"/>
      <c r="C13" s="112"/>
      <c r="D13" s="57">
        <f>(SourceObSm!F46)/1000</f>
        <v>867.87956999999994</v>
      </c>
      <c r="E13" s="50" t="s">
        <v>308</v>
      </c>
      <c r="F13" s="51"/>
      <c r="G13" s="11"/>
      <c r="H13" s="11"/>
      <c r="I13" s="11"/>
      <c r="J13" s="11"/>
    </row>
    <row r="14" spans="1:10" ht="13.8">
      <c r="A14" s="52"/>
      <c r="B14" s="15"/>
      <c r="C14" s="15"/>
      <c r="D14" s="53"/>
      <c r="E14" s="50"/>
      <c r="F14" s="54"/>
      <c r="G14" s="11"/>
      <c r="H14" s="11"/>
      <c r="I14" s="11"/>
      <c r="J14" s="11"/>
    </row>
    <row r="15" spans="1:10" ht="13.8">
      <c r="A15" s="112" t="s">
        <v>309</v>
      </c>
      <c r="B15" s="112"/>
      <c r="C15" s="112"/>
      <c r="D15" s="57">
        <f>(SourceObSm!F33)/1000</f>
        <v>75.782169999999994</v>
      </c>
      <c r="E15" s="50" t="s">
        <v>308</v>
      </c>
      <c r="F15" s="51"/>
      <c r="G15" s="11"/>
      <c r="H15" s="11"/>
      <c r="I15" s="11"/>
      <c r="J15" s="11"/>
    </row>
    <row r="16" spans="1:10" ht="13.8">
      <c r="A16" s="46"/>
      <c r="B16" s="11"/>
      <c r="C16" s="11"/>
      <c r="D16" s="53"/>
      <c r="E16" s="50"/>
      <c r="F16" s="11"/>
      <c r="G16" s="11"/>
      <c r="H16" s="11"/>
      <c r="I16" s="11"/>
      <c r="J16" s="11"/>
    </row>
    <row r="17" spans="1:10" ht="13.8">
      <c r="A17" s="112" t="s">
        <v>310</v>
      </c>
      <c r="B17" s="112"/>
      <c r="C17" s="112"/>
      <c r="D17" s="58">
        <f>SourceObSm!I12</f>
        <v>0</v>
      </c>
      <c r="E17" s="55" t="str">
        <f>SourceObSm!H12</f>
        <v/>
      </c>
      <c r="F17" s="56"/>
      <c r="G17" s="11"/>
      <c r="H17" s="11"/>
      <c r="I17" s="11"/>
      <c r="J17" s="11"/>
    </row>
    <row r="18" spans="1:10" ht="13.8">
      <c r="A18" s="46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3.8">
      <c r="A19" s="112" t="s">
        <v>281</v>
      </c>
      <c r="B19" s="112"/>
      <c r="C19" s="112"/>
      <c r="D19" s="112"/>
      <c r="E19" s="112"/>
      <c r="F19" s="112"/>
      <c r="G19" s="112"/>
      <c r="H19" s="112"/>
      <c r="I19" s="112"/>
      <c r="J19" s="112"/>
    </row>
    <row r="20" spans="1:10" ht="13.8">
      <c r="A20" s="11"/>
      <c r="B20" s="11"/>
      <c r="C20" s="11"/>
      <c r="D20" s="11"/>
      <c r="E20" s="11"/>
      <c r="F20" s="11"/>
      <c r="G20" s="11"/>
      <c r="H20" s="11"/>
      <c r="I20" s="11"/>
      <c r="J20" s="11" t="s">
        <v>308</v>
      </c>
    </row>
    <row r="21" spans="1:10" ht="13.8">
      <c r="A21" s="109" t="s">
        <v>298</v>
      </c>
      <c r="B21" s="109" t="s">
        <v>311</v>
      </c>
      <c r="C21" s="109" t="s">
        <v>272</v>
      </c>
      <c r="D21" s="111" t="s">
        <v>317</v>
      </c>
      <c r="E21" s="111"/>
      <c r="F21" s="111"/>
      <c r="G21" s="111"/>
      <c r="H21" s="111"/>
      <c r="I21" s="109" t="s">
        <v>318</v>
      </c>
      <c r="J21" s="109" t="s">
        <v>312</v>
      </c>
    </row>
    <row r="22" spans="1:10" ht="55.2">
      <c r="A22" s="110"/>
      <c r="B22" s="110"/>
      <c r="C22" s="110"/>
      <c r="D22" s="20" t="s">
        <v>313</v>
      </c>
      <c r="E22" s="20" t="s">
        <v>314</v>
      </c>
      <c r="F22" s="20" t="s">
        <v>315</v>
      </c>
      <c r="G22" s="20" t="s">
        <v>316</v>
      </c>
      <c r="H22" s="20" t="s">
        <v>121</v>
      </c>
      <c r="I22" s="110"/>
      <c r="J22" s="110"/>
    </row>
    <row r="23" spans="1:10" ht="13.8">
      <c r="A23" s="62">
        <v>1</v>
      </c>
      <c r="B23" s="62">
        <v>2</v>
      </c>
      <c r="C23" s="62">
        <v>3</v>
      </c>
      <c r="D23" s="62">
        <v>4</v>
      </c>
      <c r="E23" s="62">
        <v>5</v>
      </c>
      <c r="F23" s="62">
        <v>6</v>
      </c>
      <c r="G23" s="62">
        <v>7</v>
      </c>
      <c r="H23" s="62">
        <v>8</v>
      </c>
      <c r="I23" s="62">
        <v>9</v>
      </c>
      <c r="J23" s="62">
        <v>10</v>
      </c>
    </row>
    <row r="24" spans="1:10" ht="27.6">
      <c r="A24" s="66">
        <v>1</v>
      </c>
      <c r="B24" s="41" t="str">
        <f>SourceObSm!C16</f>
        <v>Новая локальная смета</v>
      </c>
      <c r="C24" s="41" t="str">
        <f>SourceObSm!D16</f>
        <v>Новая локальная смета</v>
      </c>
      <c r="D24" s="67">
        <f>IF(SourceObSm!E16=0, "-", ROUND(SourceObSm!E16,6))</f>
        <v>867.87956999999994</v>
      </c>
      <c r="E24" s="67" t="str">
        <f>IF(SourceObSm!F16=0, "-", ROUND(SourceObSm!F16,6))</f>
        <v>-</v>
      </c>
      <c r="F24" s="67" t="str">
        <f>IF(SourceObSm!G16=0, "-", ROUND(SourceObSm!G16,6))</f>
        <v>-</v>
      </c>
      <c r="G24" s="67" t="str">
        <f>IF(SourceObSm!H16=0, "-", ROUND(SourceObSm!H16,6))</f>
        <v>-</v>
      </c>
      <c r="H24" s="67">
        <f>IF(SourceObSm!I16=0, "-", ROUND(SourceObSm!I16,6))</f>
        <v>867.87956999999994</v>
      </c>
      <c r="I24" s="67">
        <f>IF(SourceObSm!J16=0, "-", ROUND(SourceObSm!J16,6))</f>
        <v>75.782169999999994</v>
      </c>
      <c r="J24" s="67" t="str">
        <f>IF(H24="-","-",IF(SourceObSm!I12=0,"-",H24/SourceObSm!I12))</f>
        <v>-</v>
      </c>
    </row>
    <row r="25" spans="1:10" ht="13.8">
      <c r="A25" s="68"/>
      <c r="B25" s="69"/>
      <c r="C25" s="69" t="s">
        <v>319</v>
      </c>
      <c r="D25" s="70">
        <f t="shared" ref="D25:I25" si="0">IF(SUM(D24:D24)=0, "-", ROUND(SUM(D24:D24),6))</f>
        <v>867.87956999999994</v>
      </c>
      <c r="E25" s="70" t="str">
        <f t="shared" si="0"/>
        <v>-</v>
      </c>
      <c r="F25" s="70" t="str">
        <f t="shared" si="0"/>
        <v>-</v>
      </c>
      <c r="G25" s="70" t="str">
        <f t="shared" si="0"/>
        <v>-</v>
      </c>
      <c r="H25" s="70">
        <f t="shared" si="0"/>
        <v>867.87956999999994</v>
      </c>
      <c r="I25" s="70">
        <f t="shared" si="0"/>
        <v>75.782169999999994</v>
      </c>
      <c r="J25" s="70"/>
    </row>
    <row r="27" spans="1:10" ht="13.8">
      <c r="A27" s="24"/>
      <c r="B27" s="24"/>
      <c r="C27" s="103" t="str">
        <f>SourceObSm!H47</f>
        <v>НДС 20%</v>
      </c>
      <c r="D27" s="104"/>
      <c r="E27" s="104"/>
      <c r="F27" s="104"/>
      <c r="G27" s="61"/>
      <c r="H27" s="61">
        <f>ROUND(SourceObSm!F47/1000,6)</f>
        <v>0</v>
      </c>
      <c r="I27" s="71" t="s">
        <v>308</v>
      </c>
      <c r="J27" s="60"/>
    </row>
    <row r="28" spans="1:10" ht="13.8">
      <c r="A28" s="24"/>
      <c r="B28" s="24"/>
      <c r="C28" s="105" t="str">
        <f>SourceObSm!H48</f>
        <v>Всего</v>
      </c>
      <c r="D28" s="106"/>
      <c r="E28" s="106"/>
      <c r="F28" s="106"/>
      <c r="G28" s="63"/>
      <c r="H28" s="63">
        <f>ROUND(SourceObSm!F48/1000,6)</f>
        <v>0</v>
      </c>
      <c r="I28" s="64" t="s">
        <v>308</v>
      </c>
      <c r="J28" s="60"/>
    </row>
    <row r="31" spans="1:10" ht="13.8">
      <c r="A31" s="11"/>
      <c r="B31" s="107" t="s">
        <v>320</v>
      </c>
      <c r="C31" s="107"/>
      <c r="D31" s="72" t="str">
        <f>IF(SourceObSm!X12&lt;&gt;"",SourceObSm!X12,"")</f>
        <v/>
      </c>
      <c r="E31" s="73"/>
      <c r="F31" s="73"/>
      <c r="G31" s="73"/>
      <c r="H31" s="54"/>
      <c r="I31" s="11"/>
      <c r="J31" s="11"/>
    </row>
    <row r="32" spans="1:10" ht="13.8">
      <c r="A32" s="11"/>
      <c r="B32" s="46"/>
      <c r="C32" s="11"/>
      <c r="D32" s="108" t="s">
        <v>321</v>
      </c>
      <c r="E32" s="108"/>
      <c r="F32" s="108"/>
      <c r="G32" s="108"/>
      <c r="H32" s="49"/>
      <c r="I32" s="11"/>
      <c r="J32" s="11"/>
    </row>
    <row r="33" spans="1:10" ht="13.8">
      <c r="A33" s="11"/>
      <c r="B33" s="46"/>
      <c r="C33" s="59"/>
      <c r="D33" s="11"/>
      <c r="E33" s="49"/>
      <c r="F33" s="49"/>
      <c r="G33" s="49"/>
      <c r="H33" s="49"/>
      <c r="I33" s="11"/>
      <c r="J33" s="11"/>
    </row>
    <row r="34" spans="1:10" ht="13.8">
      <c r="A34" s="11"/>
      <c r="B34" s="74" t="s">
        <v>322</v>
      </c>
      <c r="C34" s="72" t="str">
        <f>IF(SourceObSm!AA12&lt;&gt;"",SourceObSm!AA12,"")</f>
        <v/>
      </c>
      <c r="D34" s="59" t="s">
        <v>323</v>
      </c>
      <c r="E34" s="35"/>
      <c r="F34" s="35"/>
      <c r="G34" s="35"/>
      <c r="H34" s="55" t="str">
        <f>IF(SourceObSm!Y12&lt;&gt;"",SourceObSm!Y12,"")</f>
        <v/>
      </c>
      <c r="I34" s="11"/>
      <c r="J34" s="11"/>
    </row>
    <row r="35" spans="1:10" ht="13.8">
      <c r="A35" s="11"/>
      <c r="B35" s="10"/>
      <c r="C35" s="75" t="s">
        <v>324</v>
      </c>
      <c r="D35" s="13"/>
      <c r="E35" s="79" t="s">
        <v>321</v>
      </c>
      <c r="F35" s="79"/>
      <c r="G35" s="79"/>
      <c r="H35" s="49"/>
      <c r="I35" s="11"/>
      <c r="J35" s="11"/>
    </row>
    <row r="36" spans="1:10" ht="13.8">
      <c r="A36" s="11"/>
      <c r="B36" s="74"/>
      <c r="C36" s="11"/>
      <c r="D36" s="11"/>
      <c r="E36" s="11"/>
      <c r="F36" s="11"/>
      <c r="G36" s="11"/>
      <c r="H36" s="11"/>
      <c r="I36" s="11"/>
      <c r="J36" s="11"/>
    </row>
    <row r="37" spans="1:10" ht="13.8">
      <c r="A37" s="11"/>
      <c r="B37" s="74" t="s">
        <v>325</v>
      </c>
      <c r="C37" s="72" t="str">
        <f>IF(SourceObSm!AC12&lt;&gt;"",SourceObSm!AC12,"")</f>
        <v/>
      </c>
      <c r="D37" s="35"/>
      <c r="E37" s="35"/>
      <c r="F37" s="55" t="str">
        <f>IF(SourceObSm!AB12&lt;&gt;"",SourceObSm!AB12,"")</f>
        <v/>
      </c>
      <c r="G37" s="54"/>
      <c r="H37" s="11"/>
      <c r="I37" s="11"/>
      <c r="J37" s="11"/>
    </row>
    <row r="38" spans="1:10" ht="13.8">
      <c r="A38" s="11"/>
      <c r="B38" s="74"/>
      <c r="C38" s="79" t="s">
        <v>296</v>
      </c>
      <c r="D38" s="79"/>
      <c r="E38" s="79"/>
      <c r="F38" s="49"/>
      <c r="G38" s="49"/>
      <c r="H38" s="11"/>
      <c r="I38" s="11"/>
      <c r="J38" s="11"/>
    </row>
    <row r="39" spans="1:10" ht="13.8">
      <c r="A39" s="11"/>
      <c r="B39" s="74"/>
      <c r="C39" s="76"/>
      <c r="D39" s="76"/>
      <c r="E39" s="76"/>
      <c r="F39" s="49"/>
      <c r="G39" s="49"/>
      <c r="H39" s="11"/>
      <c r="I39" s="11"/>
      <c r="J39" s="11"/>
    </row>
    <row r="40" spans="1:10" ht="13.8">
      <c r="A40" s="11"/>
      <c r="B40" s="74" t="s">
        <v>326</v>
      </c>
      <c r="C40" s="72" t="str">
        <f>IF(SourceObSm!AE12&lt;&gt;"",SourceObSm!AE12,"")</f>
        <v/>
      </c>
      <c r="D40" s="35"/>
      <c r="E40" s="35"/>
      <c r="F40" s="55" t="str">
        <f>IF(SourceObSm!AD12&lt;&gt;"",SourceObSm!AD12,"")</f>
        <v/>
      </c>
      <c r="G40" s="54"/>
      <c r="H40" s="11"/>
      <c r="I40" s="11"/>
      <c r="J40" s="11"/>
    </row>
    <row r="41" spans="1:10" ht="13.8">
      <c r="A41" s="11"/>
      <c r="B41" s="46"/>
      <c r="C41" s="79" t="s">
        <v>296</v>
      </c>
      <c r="D41" s="79"/>
      <c r="E41" s="79"/>
      <c r="F41" s="49"/>
      <c r="G41" s="49"/>
      <c r="H41" s="11"/>
      <c r="I41" s="11"/>
      <c r="J41" s="11"/>
    </row>
  </sheetData>
  <mergeCells count="25">
    <mergeCell ref="D9:I9"/>
    <mergeCell ref="A1:D1"/>
    <mergeCell ref="B4:I4"/>
    <mergeCell ref="B5:I5"/>
    <mergeCell ref="A8:C8"/>
    <mergeCell ref="D8:I8"/>
    <mergeCell ref="J21:J22"/>
    <mergeCell ref="A11:C11"/>
    <mergeCell ref="D11:I11"/>
    <mergeCell ref="A13:C13"/>
    <mergeCell ref="A15:C15"/>
    <mergeCell ref="A17:C17"/>
    <mergeCell ref="A19:J19"/>
    <mergeCell ref="A21:A22"/>
    <mergeCell ref="B21:B22"/>
    <mergeCell ref="C21:C22"/>
    <mergeCell ref="D21:H21"/>
    <mergeCell ref="I21:I22"/>
    <mergeCell ref="C41:E41"/>
    <mergeCell ref="C27:F27"/>
    <mergeCell ref="C28:F28"/>
    <mergeCell ref="B31:C31"/>
    <mergeCell ref="D32:G32"/>
    <mergeCell ref="E35:G35"/>
    <mergeCell ref="C38:E38"/>
  </mergeCells>
  <pageMargins left="0.4" right="0.2" top="0.2" bottom="0.4" header="0.2" footer="0.2"/>
  <pageSetup paperSize="9" fitToHeight="0" orientation="portrait" verticalDpi="0" r:id="rId1"/>
  <headerFooter>
    <oddHeader>&amp;L&amp;8&amp;C&amp;P страница из &amp;N</oddHeader>
  </headerFooter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74"/>
  <sheetViews>
    <sheetView workbookViewId="0"/>
  </sheetViews>
  <sheetFormatPr defaultRowHeight="13.2"/>
  <sheetData>
    <row r="1" spans="1:23">
      <c r="A1" t="s">
        <v>350</v>
      </c>
      <c r="B1" t="s">
        <v>351</v>
      </c>
      <c r="C1" t="s">
        <v>352</v>
      </c>
      <c r="D1" t="s">
        <v>353</v>
      </c>
      <c r="E1" t="s">
        <v>354</v>
      </c>
      <c r="F1" t="s">
        <v>355</v>
      </c>
      <c r="G1" t="s">
        <v>356</v>
      </c>
      <c r="H1" t="s">
        <v>357</v>
      </c>
      <c r="I1" t="s">
        <v>358</v>
      </c>
      <c r="J1" t="s">
        <v>359</v>
      </c>
      <c r="K1" t="s">
        <v>360</v>
      </c>
    </row>
    <row r="2" spans="1:23">
      <c r="A2">
        <v>1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0</v>
      </c>
      <c r="I2">
        <v>0</v>
      </c>
      <c r="J2">
        <v>0</v>
      </c>
      <c r="K2">
        <v>0</v>
      </c>
    </row>
    <row r="4" spans="1:23">
      <c r="A4" t="s">
        <v>327</v>
      </c>
      <c r="B4" t="s">
        <v>328</v>
      </c>
      <c r="C4" t="s">
        <v>329</v>
      </c>
      <c r="D4" t="s">
        <v>330</v>
      </c>
      <c r="E4" t="s">
        <v>331</v>
      </c>
      <c r="F4" t="s">
        <v>332</v>
      </c>
      <c r="G4" t="s">
        <v>333</v>
      </c>
      <c r="H4" t="s">
        <v>334</v>
      </c>
      <c r="I4" t="s">
        <v>335</v>
      </c>
      <c r="J4" t="s">
        <v>336</v>
      </c>
      <c r="K4" t="s">
        <v>337</v>
      </c>
      <c r="L4" t="s">
        <v>338</v>
      </c>
      <c r="M4" t="s">
        <v>339</v>
      </c>
      <c r="N4" t="s">
        <v>340</v>
      </c>
      <c r="O4" t="s">
        <v>341</v>
      </c>
      <c r="P4" t="s">
        <v>342</v>
      </c>
      <c r="Q4" t="s">
        <v>343</v>
      </c>
      <c r="R4" t="s">
        <v>344</v>
      </c>
      <c r="S4" t="s">
        <v>345</v>
      </c>
      <c r="T4" t="s">
        <v>346</v>
      </c>
      <c r="U4" t="s">
        <v>347</v>
      </c>
      <c r="V4" t="s">
        <v>348</v>
      </c>
      <c r="W4" t="s">
        <v>349</v>
      </c>
    </row>
    <row r="6" spans="1:23">
      <c r="A6">
        <f>Source!A20</f>
        <v>3</v>
      </c>
      <c r="B6">
        <v>20</v>
      </c>
      <c r="G6" t="str">
        <f>Source!G20</f>
        <v>Новая локальная смета</v>
      </c>
    </row>
    <row r="7" spans="1:23">
      <c r="A7">
        <f>Source!A24</f>
        <v>4</v>
      </c>
      <c r="B7">
        <v>24</v>
      </c>
      <c r="G7" t="str">
        <f>Source!G24</f>
        <v>10.1. Устройство новых оснований площадок (Корт)</v>
      </c>
    </row>
    <row r="8" spans="1:23">
      <c r="A8">
        <f>Source!A28</f>
        <v>17</v>
      </c>
      <c r="C8">
        <v>2</v>
      </c>
      <c r="D8">
        <v>0</v>
      </c>
      <c r="E8">
        <f>SmtRes!AV3</f>
        <v>0</v>
      </c>
      <c r="F8" t="str">
        <f>SmtRes!I3</f>
        <v>2.1-1-44</v>
      </c>
      <c r="G8" t="str">
        <f>SmtRes!K3</f>
        <v>Бульдозеры гусеничные, мощность до 79 кВт (108 л.с.)</v>
      </c>
      <c r="H8" t="str">
        <f>SmtRes!O3</f>
        <v>маш.-ч.</v>
      </c>
      <c r="I8">
        <f>SmtRes!Y3*Source!I28</f>
        <v>2.1194943840000002</v>
      </c>
      <c r="J8">
        <f>SmtRes!AO3</f>
        <v>1</v>
      </c>
      <c r="K8">
        <f>SmtRes!AF3</f>
        <v>110.31</v>
      </c>
      <c r="L8">
        <f>SmtRes!DB3</f>
        <v>109.98</v>
      </c>
      <c r="M8">
        <f>ROUND(ROUND(L8*Source!I28, 6)*1, 2)</f>
        <v>233.8</v>
      </c>
      <c r="N8">
        <f>SmtRes!AB3</f>
        <v>131.49</v>
      </c>
      <c r="O8">
        <f>ROUND(ROUND(L8*Source!I28, 6)*SmtRes!DA3, 2)</f>
        <v>233.8</v>
      </c>
      <c r="P8">
        <f>SmtRes!AG3</f>
        <v>26.52</v>
      </c>
      <c r="Q8">
        <f>SmtRes!DC3</f>
        <v>26.44</v>
      </c>
      <c r="R8">
        <f>ROUND(ROUND(Q8*Source!I28, 6)*1, 2)</f>
        <v>56.21</v>
      </c>
      <c r="S8">
        <f>SmtRes!AC3</f>
        <v>31.61</v>
      </c>
      <c r="T8">
        <f>ROUND(ROUND(Q8*Source!I28, 6)*SmtRes!AK3, 2)</f>
        <v>56.21</v>
      </c>
      <c r="U8">
        <f>SmtRes!X3</f>
        <v>695902881</v>
      </c>
      <c r="V8">
        <v>-190654433</v>
      </c>
      <c r="W8">
        <v>2001007343</v>
      </c>
    </row>
    <row r="9" spans="1:23">
      <c r="A9">
        <f>Source!A28</f>
        <v>17</v>
      </c>
      <c r="C9">
        <v>2</v>
      </c>
      <c r="D9">
        <v>0</v>
      </c>
      <c r="E9">
        <f>SmtRes!AV2</f>
        <v>0</v>
      </c>
      <c r="F9" t="str">
        <f>SmtRes!I2</f>
        <v>2.1-1-4</v>
      </c>
      <c r="G9" t="str">
        <f>SmtRes!K2</f>
        <v>Экскаваторы на гусеничном ходу гидравлические, объем ковша до 0,5 м3</v>
      </c>
      <c r="H9" t="str">
        <f>SmtRes!O2</f>
        <v>маш.-ч.</v>
      </c>
      <c r="I9">
        <f>SmtRes!Y2*Source!I28</f>
        <v>8.4769146000000006</v>
      </c>
      <c r="J9">
        <f>SmtRes!AO2</f>
        <v>1</v>
      </c>
      <c r="K9">
        <f>SmtRes!AF2</f>
        <v>162.4</v>
      </c>
      <c r="L9">
        <f>SmtRes!DB2</f>
        <v>647.57000000000005</v>
      </c>
      <c r="M9">
        <f>ROUND(ROUND(L9*Source!I28, 6)*1, 2)</f>
        <v>1376.65</v>
      </c>
      <c r="N9">
        <f>SmtRes!AB2</f>
        <v>193.58</v>
      </c>
      <c r="O9">
        <f>ROUND(ROUND(L9*Source!I28, 6)*SmtRes!DA2, 2)</f>
        <v>1376.65</v>
      </c>
      <c r="P9">
        <f>SmtRes!AG2</f>
        <v>28.6</v>
      </c>
      <c r="Q9">
        <f>SmtRes!DC2</f>
        <v>114.04</v>
      </c>
      <c r="R9">
        <f>ROUND(ROUND(Q9*Source!I28, 6)*1, 2)</f>
        <v>242.43</v>
      </c>
      <c r="S9">
        <f>SmtRes!AC2</f>
        <v>34.090000000000003</v>
      </c>
      <c r="T9">
        <f>ROUND(ROUND(Q9*Source!I28, 6)*SmtRes!AK2, 2)</f>
        <v>242.43</v>
      </c>
      <c r="U9">
        <f>SmtRes!X2</f>
        <v>781556702</v>
      </c>
      <c r="V9">
        <v>-1266550935</v>
      </c>
      <c r="W9">
        <v>-315765011</v>
      </c>
    </row>
    <row r="10" spans="1:23">
      <c r="A10">
        <f>Source!A30</f>
        <v>17</v>
      </c>
      <c r="C10">
        <v>2</v>
      </c>
      <c r="D10">
        <v>0</v>
      </c>
      <c r="E10">
        <f>SmtRes!AV7</f>
        <v>0</v>
      </c>
      <c r="F10" t="str">
        <f>SmtRes!I7</f>
        <v>2.1-1-44</v>
      </c>
      <c r="G10" t="str">
        <f>SmtRes!K7</f>
        <v>Бульдозеры гусеничные, мощность до 79 кВт (108 л.с.)</v>
      </c>
      <c r="H10" t="str">
        <f>SmtRes!O7</f>
        <v>маш.-ч.</v>
      </c>
      <c r="I10">
        <f>SmtRes!Y7*Source!I30</f>
        <v>1.9075449456</v>
      </c>
      <c r="J10">
        <f>SmtRes!AO7</f>
        <v>1</v>
      </c>
      <c r="K10">
        <f>SmtRes!AF7</f>
        <v>110.31</v>
      </c>
      <c r="L10">
        <f>SmtRes!DB7</f>
        <v>109.98</v>
      </c>
      <c r="M10">
        <f>ROUND(ROUND(L10*Source!I30, 6)*1, 2)</f>
        <v>210.42</v>
      </c>
      <c r="N10">
        <f>SmtRes!AB7</f>
        <v>131.49</v>
      </c>
      <c r="O10">
        <f>ROUND(ROUND(L10*Source!I30, 6)*SmtRes!DA7, 2)</f>
        <v>210.42</v>
      </c>
      <c r="P10">
        <f>SmtRes!AG7</f>
        <v>26.52</v>
      </c>
      <c r="Q10">
        <f>SmtRes!DC7</f>
        <v>26.44</v>
      </c>
      <c r="R10">
        <f>ROUND(ROUND(Q10*Source!I30, 6)*1, 2)</f>
        <v>50.59</v>
      </c>
      <c r="S10">
        <f>SmtRes!AC7</f>
        <v>31.61</v>
      </c>
      <c r="T10">
        <f>ROUND(ROUND(Q10*Source!I30, 6)*SmtRes!AK7, 2)</f>
        <v>50.59</v>
      </c>
      <c r="U10">
        <f>SmtRes!X7</f>
        <v>695902881</v>
      </c>
      <c r="V10">
        <v>-190654433</v>
      </c>
      <c r="W10">
        <v>2001007343</v>
      </c>
    </row>
    <row r="11" spans="1:23">
      <c r="A11">
        <f>Source!A30</f>
        <v>17</v>
      </c>
      <c r="C11">
        <v>2</v>
      </c>
      <c r="D11">
        <v>0</v>
      </c>
      <c r="E11">
        <f>SmtRes!AV6</f>
        <v>0</v>
      </c>
      <c r="F11" t="str">
        <f>SmtRes!I6</f>
        <v>2.1-1-4</v>
      </c>
      <c r="G11" t="str">
        <f>SmtRes!K6</f>
        <v>Экскаваторы на гусеничном ходу гидравлические, объем ковша до 0,5 м3</v>
      </c>
      <c r="H11" t="str">
        <f>SmtRes!O6</f>
        <v>маш.-ч.</v>
      </c>
      <c r="I11">
        <f>SmtRes!Y6*Source!I30</f>
        <v>7.6292231399999997</v>
      </c>
      <c r="J11">
        <f>SmtRes!AO6</f>
        <v>1</v>
      </c>
      <c r="K11">
        <f>SmtRes!AF6</f>
        <v>162.4</v>
      </c>
      <c r="L11">
        <f>SmtRes!DB6</f>
        <v>647.57000000000005</v>
      </c>
      <c r="M11">
        <f>ROUND(ROUND(L11*Source!I30, 6)*1, 2)</f>
        <v>1238.99</v>
      </c>
      <c r="N11">
        <f>SmtRes!AB6</f>
        <v>193.58</v>
      </c>
      <c r="O11">
        <f>ROUND(ROUND(L11*Source!I30, 6)*SmtRes!DA6, 2)</f>
        <v>1238.99</v>
      </c>
      <c r="P11">
        <f>SmtRes!AG6</f>
        <v>28.6</v>
      </c>
      <c r="Q11">
        <f>SmtRes!DC6</f>
        <v>114.04</v>
      </c>
      <c r="R11">
        <f>ROUND(ROUND(Q11*Source!I30, 6)*1, 2)</f>
        <v>218.19</v>
      </c>
      <c r="S11">
        <f>SmtRes!AC6</f>
        <v>34.090000000000003</v>
      </c>
      <c r="T11">
        <f>ROUND(ROUND(Q11*Source!I30, 6)*SmtRes!AK6, 2)</f>
        <v>218.19</v>
      </c>
      <c r="U11">
        <f>SmtRes!X6</f>
        <v>781556702</v>
      </c>
      <c r="V11">
        <v>-1266550935</v>
      </c>
      <c r="W11">
        <v>-315765011</v>
      </c>
    </row>
    <row r="12" spans="1:23">
      <c r="A12">
        <f>Source!A32</f>
        <v>17</v>
      </c>
      <c r="C12">
        <v>3</v>
      </c>
      <c r="D12">
        <v>0</v>
      </c>
      <c r="E12">
        <f>SmtRes!AV15</f>
        <v>0</v>
      </c>
      <c r="F12" t="str">
        <f>SmtRes!I15</f>
        <v>1.1-1-118</v>
      </c>
      <c r="G12" t="str">
        <f>SmtRes!K15</f>
        <v>Вода</v>
      </c>
      <c r="H12" t="str">
        <f>SmtRes!O15</f>
        <v>м3</v>
      </c>
      <c r="I12">
        <f>SmtRes!Y15*Source!I32</f>
        <v>5.6240000000000006</v>
      </c>
      <c r="J12">
        <f>SmtRes!AO15</f>
        <v>1</v>
      </c>
      <c r="K12">
        <f>SmtRes!AE15</f>
        <v>7.07</v>
      </c>
      <c r="L12">
        <f>SmtRes!DB15</f>
        <v>35.35</v>
      </c>
      <c r="M12">
        <f>ROUND(ROUND(L12*Source!I32, 6)*1, 2)</f>
        <v>39.76</v>
      </c>
      <c r="N12">
        <f>SmtRes!AA15</f>
        <v>7.08</v>
      </c>
      <c r="O12">
        <f>ROUND(ROUND(L12*Source!I32, 6)*SmtRes!DA15, 2)</f>
        <v>39.76</v>
      </c>
      <c r="P12">
        <f>SmtRes!AG15</f>
        <v>0</v>
      </c>
      <c r="Q12">
        <f>SmtRes!DC15</f>
        <v>0</v>
      </c>
      <c r="R12">
        <f>ROUND(ROUND(Q12*Source!I32, 6)*1, 2)</f>
        <v>0</v>
      </c>
      <c r="S12">
        <f>SmtRes!AC15</f>
        <v>0</v>
      </c>
      <c r="T12">
        <f>ROUND(ROUND(Q12*Source!I32, 6)*SmtRes!AK15, 2)</f>
        <v>0</v>
      </c>
      <c r="U12">
        <f>SmtRes!X15</f>
        <v>-862991314</v>
      </c>
      <c r="V12">
        <v>209219300</v>
      </c>
      <c r="W12">
        <v>-1664650379</v>
      </c>
    </row>
    <row r="13" spans="1:23">
      <c r="A13">
        <f>Source!A32</f>
        <v>17</v>
      </c>
      <c r="C13">
        <v>2</v>
      </c>
      <c r="D13">
        <v>0</v>
      </c>
      <c r="E13">
        <f>SmtRes!AV14</f>
        <v>0</v>
      </c>
      <c r="F13" t="str">
        <f>SmtRes!I14</f>
        <v>2.1-5-7</v>
      </c>
      <c r="G13" t="str">
        <f>SmtRes!K14</f>
        <v>Катки дорожные самоходные на пневмоколесном ходу, масса до 16 т</v>
      </c>
      <c r="H13" t="str">
        <f>SmtRes!O14</f>
        <v>маш.-ч.</v>
      </c>
      <c r="I13">
        <f>SmtRes!Y14*Source!I32</f>
        <v>0.58489600000000008</v>
      </c>
      <c r="J13">
        <f>SmtRes!AO14</f>
        <v>1</v>
      </c>
      <c r="K13">
        <f>SmtRes!AF14</f>
        <v>178.02</v>
      </c>
      <c r="L13">
        <f>SmtRes!DB14</f>
        <v>92.57</v>
      </c>
      <c r="M13">
        <f>ROUND(ROUND(L13*Source!I32, 6)*1, 2)</f>
        <v>104.12</v>
      </c>
      <c r="N13">
        <f>SmtRes!AB14</f>
        <v>186.39</v>
      </c>
      <c r="O13">
        <f>ROUND(ROUND(L13*Source!I32, 6)*SmtRes!DA14, 2)</f>
        <v>104.12</v>
      </c>
      <c r="P13">
        <f>SmtRes!AG14</f>
        <v>23.5</v>
      </c>
      <c r="Q13">
        <f>SmtRes!DC14</f>
        <v>12.22</v>
      </c>
      <c r="R13">
        <f>ROUND(ROUND(Q13*Source!I32, 6)*1, 2)</f>
        <v>13.75</v>
      </c>
      <c r="S13">
        <f>SmtRes!AC14</f>
        <v>24.6</v>
      </c>
      <c r="T13">
        <f>ROUND(ROUND(Q13*Source!I32, 6)*SmtRes!AK14, 2)</f>
        <v>13.75</v>
      </c>
      <c r="U13">
        <f>SmtRes!X14</f>
        <v>2023875219</v>
      </c>
      <c r="V13">
        <v>1989037200</v>
      </c>
      <c r="W13">
        <v>-1459739079</v>
      </c>
    </row>
    <row r="14" spans="1:23">
      <c r="A14">
        <f>Source!A32</f>
        <v>17</v>
      </c>
      <c r="C14">
        <v>2</v>
      </c>
      <c r="D14">
        <v>0</v>
      </c>
      <c r="E14">
        <f>SmtRes!AV13</f>
        <v>0</v>
      </c>
      <c r="F14" t="str">
        <f>SmtRes!I13</f>
        <v>2.1-5-48</v>
      </c>
      <c r="G14" t="str">
        <f>SmtRes!K13</f>
        <v>Автогрейдеры, мощность 99-147 кВт (130-200 л.с.)</v>
      </c>
      <c r="H14" t="str">
        <f>SmtRes!O13</f>
        <v>маш.-ч.</v>
      </c>
      <c r="I14">
        <f>SmtRes!Y13*Source!I32</f>
        <v>1.7434400000000001</v>
      </c>
      <c r="J14">
        <f>SmtRes!AO13</f>
        <v>1</v>
      </c>
      <c r="K14">
        <f>SmtRes!AF13</f>
        <v>125.13</v>
      </c>
      <c r="L14">
        <f>SmtRes!DB13</f>
        <v>193.95</v>
      </c>
      <c r="M14">
        <f>ROUND(ROUND(L14*Source!I32, 6)*1, 2)</f>
        <v>218.15</v>
      </c>
      <c r="N14">
        <f>SmtRes!AB13</f>
        <v>131.01</v>
      </c>
      <c r="O14">
        <f>ROUND(ROUND(L14*Source!I32, 6)*SmtRes!DA13, 2)</f>
        <v>218.15</v>
      </c>
      <c r="P14">
        <f>SmtRes!AG13</f>
        <v>24.74</v>
      </c>
      <c r="Q14">
        <f>SmtRes!DC13</f>
        <v>38.35</v>
      </c>
      <c r="R14">
        <f>ROUND(ROUND(Q14*Source!I32, 6)*1, 2)</f>
        <v>43.14</v>
      </c>
      <c r="S14">
        <f>SmtRes!AC13</f>
        <v>25.9</v>
      </c>
      <c r="T14">
        <f>ROUND(ROUND(Q14*Source!I32, 6)*SmtRes!AK13, 2)</f>
        <v>43.14</v>
      </c>
      <c r="U14">
        <f>SmtRes!X13</f>
        <v>856318566</v>
      </c>
      <c r="V14">
        <v>-1785549983</v>
      </c>
      <c r="W14">
        <v>-796572181</v>
      </c>
    </row>
    <row r="15" spans="1:23">
      <c r="A15">
        <f>Source!A32</f>
        <v>17</v>
      </c>
      <c r="C15">
        <v>2</v>
      </c>
      <c r="D15">
        <v>0</v>
      </c>
      <c r="E15">
        <f>SmtRes!AV12</f>
        <v>0</v>
      </c>
      <c r="F15" t="str">
        <f>SmtRes!I12</f>
        <v>2.1-5-18</v>
      </c>
      <c r="G15" t="str">
        <f>SmtRes!K12</f>
        <v>Поливомоечные машины, емкость цистерны более 5000 л</v>
      </c>
      <c r="H15" t="str">
        <f>SmtRes!O12</f>
        <v>маш.-ч.</v>
      </c>
      <c r="I15">
        <f>SmtRes!Y12*Source!I32</f>
        <v>0.73111999999999999</v>
      </c>
      <c r="J15">
        <f>SmtRes!AO12</f>
        <v>1</v>
      </c>
      <c r="K15">
        <f>SmtRes!AF12</f>
        <v>140.58000000000001</v>
      </c>
      <c r="L15">
        <f>SmtRes!DB12</f>
        <v>91.38</v>
      </c>
      <c r="M15">
        <f>ROUND(ROUND(L15*Source!I32, 6)*1, 2)</f>
        <v>102.78</v>
      </c>
      <c r="N15">
        <f>SmtRes!AB12</f>
        <v>147.19</v>
      </c>
      <c r="O15">
        <f>ROUND(ROUND(L15*Source!I32, 6)*SmtRes!DA12, 2)</f>
        <v>102.78</v>
      </c>
      <c r="P15">
        <f>SmtRes!AG12</f>
        <v>28.61</v>
      </c>
      <c r="Q15">
        <f>SmtRes!DC12</f>
        <v>18.600000000000001</v>
      </c>
      <c r="R15">
        <f>ROUND(ROUND(Q15*Source!I32, 6)*1, 2)</f>
        <v>20.92</v>
      </c>
      <c r="S15">
        <f>SmtRes!AC12</f>
        <v>29.95</v>
      </c>
      <c r="T15">
        <f>ROUND(ROUND(Q15*Source!I32, 6)*SmtRes!AK12, 2)</f>
        <v>20.92</v>
      </c>
      <c r="U15">
        <f>SmtRes!X12</f>
        <v>378346098</v>
      </c>
      <c r="V15">
        <v>-656460772</v>
      </c>
      <c r="W15">
        <v>1449392439</v>
      </c>
    </row>
    <row r="16" spans="1:23">
      <c r="A16">
        <f>Source!A32</f>
        <v>17</v>
      </c>
      <c r="C16">
        <v>2</v>
      </c>
      <c r="D16">
        <v>0</v>
      </c>
      <c r="E16">
        <f>SmtRes!AV11</f>
        <v>0</v>
      </c>
      <c r="F16" t="str">
        <f>SmtRes!I11</f>
        <v>2.1-5-15</v>
      </c>
      <c r="G16" t="str">
        <f>SmtRes!K11</f>
        <v>Катки прицепные пневмоколесные, масса до 50 т</v>
      </c>
      <c r="H16" t="str">
        <f>SmtRes!O11</f>
        <v>маш.-ч.</v>
      </c>
      <c r="I16">
        <f>SmtRes!Y11*Source!I32</f>
        <v>1.8671679999999999</v>
      </c>
      <c r="J16">
        <f>SmtRes!AO11</f>
        <v>1</v>
      </c>
      <c r="K16">
        <f>SmtRes!AF11</f>
        <v>62.97</v>
      </c>
      <c r="L16">
        <f>SmtRes!DB11</f>
        <v>104.53</v>
      </c>
      <c r="M16">
        <f>ROUND(ROUND(L16*Source!I32, 6)*1, 2)</f>
        <v>117.58</v>
      </c>
      <c r="N16">
        <f>SmtRes!AB11</f>
        <v>65.930000000000007</v>
      </c>
      <c r="O16">
        <f>ROUND(ROUND(L16*Source!I32, 6)*SmtRes!DA11, 2)</f>
        <v>117.58</v>
      </c>
      <c r="P16">
        <f>SmtRes!AG11</f>
        <v>6.64</v>
      </c>
      <c r="Q16">
        <f>SmtRes!DC11</f>
        <v>11.02</v>
      </c>
      <c r="R16">
        <f>ROUND(ROUND(Q16*Source!I32, 6)*1, 2)</f>
        <v>12.4</v>
      </c>
      <c r="S16">
        <f>SmtRes!AC11</f>
        <v>6.95</v>
      </c>
      <c r="T16">
        <f>ROUND(ROUND(Q16*Source!I32, 6)*SmtRes!AK11, 2)</f>
        <v>12.4</v>
      </c>
      <c r="U16">
        <f>SmtRes!X11</f>
        <v>142191915</v>
      </c>
      <c r="V16">
        <v>100101108</v>
      </c>
      <c r="W16">
        <v>-1622304940</v>
      </c>
    </row>
    <row r="17" spans="1:23">
      <c r="A17">
        <f>Source!A32</f>
        <v>17</v>
      </c>
      <c r="C17">
        <v>2</v>
      </c>
      <c r="D17">
        <v>0</v>
      </c>
      <c r="E17">
        <f>SmtRes!AV10</f>
        <v>0</v>
      </c>
      <c r="F17" t="str">
        <f>SmtRes!I10</f>
        <v>2.1-2-1</v>
      </c>
      <c r="G17" t="str">
        <f>SmtRes!K10</f>
        <v>Тракторы на гусеничном ходу, мощность до 60 кВт (81 л.с.)</v>
      </c>
      <c r="H17" t="str">
        <f>SmtRes!O10</f>
        <v>маш.-ч.</v>
      </c>
      <c r="I17">
        <f>SmtRes!Y10*Source!I32</f>
        <v>1.8671679999999999</v>
      </c>
      <c r="J17">
        <f>SmtRes!AO10</f>
        <v>1</v>
      </c>
      <c r="K17">
        <f>SmtRes!AF10</f>
        <v>116.89</v>
      </c>
      <c r="L17">
        <f>SmtRes!DB10</f>
        <v>194.04</v>
      </c>
      <c r="M17">
        <f>ROUND(ROUND(L17*Source!I32, 6)*1, 2)</f>
        <v>218.26</v>
      </c>
      <c r="N17">
        <f>SmtRes!AB10</f>
        <v>122.38</v>
      </c>
      <c r="O17">
        <f>ROUND(ROUND(L17*Source!I32, 6)*SmtRes!DA10, 2)</f>
        <v>218.26</v>
      </c>
      <c r="P17">
        <f>SmtRes!AG10</f>
        <v>23.41</v>
      </c>
      <c r="Q17">
        <f>SmtRes!DC10</f>
        <v>38.86</v>
      </c>
      <c r="R17">
        <f>ROUND(ROUND(Q17*Source!I32, 6)*1, 2)</f>
        <v>43.71</v>
      </c>
      <c r="S17">
        <f>SmtRes!AC10</f>
        <v>24.51</v>
      </c>
      <c r="T17">
        <f>ROUND(ROUND(Q17*Source!I32, 6)*SmtRes!AK10, 2)</f>
        <v>43.71</v>
      </c>
      <c r="U17">
        <f>SmtRes!X10</f>
        <v>1928543733</v>
      </c>
      <c r="V17">
        <v>482636110</v>
      </c>
      <c r="W17">
        <v>1089828244</v>
      </c>
    </row>
    <row r="18" spans="1:23">
      <c r="A18">
        <f>Source!A33</f>
        <v>18</v>
      </c>
      <c r="B18">
        <v>33</v>
      </c>
      <c r="C18">
        <v>3</v>
      </c>
      <c r="D18">
        <f>Source!BI33</f>
        <v>1</v>
      </c>
      <c r="E18">
        <f>Source!FS33</f>
        <v>0</v>
      </c>
      <c r="F18" t="str">
        <f>Source!F33</f>
        <v>1.1-1-766</v>
      </c>
      <c r="G18" t="str">
        <f>Source!G33</f>
        <v>Песок для строительных работ, рядовой</v>
      </c>
      <c r="H18" t="str">
        <f>Source!H33</f>
        <v>м3</v>
      </c>
      <c r="I18">
        <f>Source!I33</f>
        <v>123.72800000000001</v>
      </c>
      <c r="J18">
        <v>1</v>
      </c>
      <c r="K18">
        <f>Source!AC33</f>
        <v>104.99</v>
      </c>
      <c r="M18">
        <f>ROUND(K18*I18, 2)</f>
        <v>12990.2</v>
      </c>
      <c r="N18">
        <f>Source!AC33*IF(Source!BC33&lt;&gt; 0, Source!BC33, 1)</f>
        <v>552.24739999999997</v>
      </c>
      <c r="O18">
        <f>ROUND(N18*I18, 2)</f>
        <v>68328.47</v>
      </c>
      <c r="P18">
        <f>Source!AE33</f>
        <v>0</v>
      </c>
      <c r="R18">
        <f>ROUND(P18*I18, 2)</f>
        <v>0</v>
      </c>
      <c r="S18">
        <f>Source!AE33*IF(Source!BS33&lt;&gt; 0, Source!BS33, 1)</f>
        <v>0</v>
      </c>
      <c r="T18">
        <f>ROUND(S18*I18, 2)</f>
        <v>0</v>
      </c>
      <c r="U18">
        <f>Source!GF33</f>
        <v>2069056849</v>
      </c>
      <c r="V18">
        <v>464578271</v>
      </c>
      <c r="W18">
        <v>1615926593</v>
      </c>
    </row>
    <row r="19" spans="1:23">
      <c r="A19">
        <f>Source!A34</f>
        <v>17</v>
      </c>
      <c r="C19">
        <v>3</v>
      </c>
      <c r="D19">
        <v>0</v>
      </c>
      <c r="E19">
        <f>SmtRes!AV24</f>
        <v>0</v>
      </c>
      <c r="F19" t="str">
        <f>SmtRes!I24</f>
        <v>1.1-1-118</v>
      </c>
      <c r="G19" t="str">
        <f>SmtRes!K24</f>
        <v>Вода</v>
      </c>
      <c r="H19" t="str">
        <f>SmtRes!O24</f>
        <v>м3</v>
      </c>
      <c r="I19">
        <f>SmtRes!Y24*Source!I34</f>
        <v>5.9051999999999998</v>
      </c>
      <c r="J19">
        <f>SmtRes!AO24</f>
        <v>1</v>
      </c>
      <c r="K19">
        <f>SmtRes!AE24</f>
        <v>7.07</v>
      </c>
      <c r="L19">
        <f>SmtRes!DB24</f>
        <v>49.49</v>
      </c>
      <c r="M19">
        <f>ROUND(ROUND(L19*Source!I34, 6)*1, 2)</f>
        <v>41.75</v>
      </c>
      <c r="N19">
        <f>SmtRes!AA24</f>
        <v>7.08</v>
      </c>
      <c r="O19">
        <f>ROUND(ROUND(L19*Source!I34, 6)*SmtRes!DA24, 2)</f>
        <v>41.75</v>
      </c>
      <c r="P19">
        <f>SmtRes!AG24</f>
        <v>0</v>
      </c>
      <c r="Q19">
        <f>SmtRes!DC24</f>
        <v>0</v>
      </c>
      <c r="R19">
        <f>ROUND(ROUND(Q19*Source!I34, 6)*1, 2)</f>
        <v>0</v>
      </c>
      <c r="S19">
        <f>SmtRes!AC24</f>
        <v>0</v>
      </c>
      <c r="T19">
        <f>ROUND(ROUND(Q19*Source!I34, 6)*SmtRes!AK24, 2)</f>
        <v>0</v>
      </c>
      <c r="U19">
        <f>SmtRes!X24</f>
        <v>-862991314</v>
      </c>
      <c r="V19">
        <v>209219300</v>
      </c>
      <c r="W19">
        <v>-1664650379</v>
      </c>
    </row>
    <row r="20" spans="1:23">
      <c r="A20">
        <f>Source!A34</f>
        <v>17</v>
      </c>
      <c r="C20">
        <v>2</v>
      </c>
      <c r="D20">
        <v>0</v>
      </c>
      <c r="E20">
        <f>SmtRes!AV23</f>
        <v>0</v>
      </c>
      <c r="F20" t="str">
        <f>SmtRes!I23</f>
        <v>2.1-5-7</v>
      </c>
      <c r="G20" t="str">
        <f>SmtRes!K23</f>
        <v>Катки дорожные самоходные на пневмоколесном ходу, масса до 16 т</v>
      </c>
      <c r="H20" t="str">
        <f>SmtRes!O23</f>
        <v>маш.-ч.</v>
      </c>
      <c r="I20">
        <f>SmtRes!Y23*Source!I34</f>
        <v>0.43867200000000001</v>
      </c>
      <c r="J20">
        <f>SmtRes!AO23</f>
        <v>1</v>
      </c>
      <c r="K20">
        <f>SmtRes!AF23</f>
        <v>178.02</v>
      </c>
      <c r="L20">
        <f>SmtRes!DB23</f>
        <v>92.57</v>
      </c>
      <c r="M20">
        <f>ROUND(ROUND(L20*Source!I34, 6)*1, 2)</f>
        <v>78.09</v>
      </c>
      <c r="N20">
        <f>SmtRes!AB23</f>
        <v>186.39</v>
      </c>
      <c r="O20">
        <f>ROUND(ROUND(L20*Source!I34, 6)*SmtRes!DA23, 2)</f>
        <v>78.09</v>
      </c>
      <c r="P20">
        <f>SmtRes!AG23</f>
        <v>23.5</v>
      </c>
      <c r="Q20">
        <f>SmtRes!DC23</f>
        <v>12.22</v>
      </c>
      <c r="R20">
        <f>ROUND(ROUND(Q20*Source!I34, 6)*1, 2)</f>
        <v>10.31</v>
      </c>
      <c r="S20">
        <f>SmtRes!AC23</f>
        <v>24.6</v>
      </c>
      <c r="T20">
        <f>ROUND(ROUND(Q20*Source!I34, 6)*SmtRes!AK23, 2)</f>
        <v>10.31</v>
      </c>
      <c r="U20">
        <f>SmtRes!X23</f>
        <v>2023875219</v>
      </c>
      <c r="V20">
        <v>1989037200</v>
      </c>
      <c r="W20">
        <v>-1459739079</v>
      </c>
    </row>
    <row r="21" spans="1:23">
      <c r="A21">
        <f>Source!A34</f>
        <v>17</v>
      </c>
      <c r="C21">
        <v>2</v>
      </c>
      <c r="D21">
        <v>0</v>
      </c>
      <c r="E21">
        <f>SmtRes!AV22</f>
        <v>0</v>
      </c>
      <c r="F21" t="str">
        <f>SmtRes!I22</f>
        <v>2.1-5-48</v>
      </c>
      <c r="G21" t="str">
        <f>SmtRes!K22</f>
        <v>Автогрейдеры, мощность 99-147 кВт (130-200 л.с.)</v>
      </c>
      <c r="H21" t="str">
        <f>SmtRes!O22</f>
        <v>маш.-ч.</v>
      </c>
      <c r="I21">
        <f>SmtRes!Y22*Source!I34</f>
        <v>1.5100440000000002</v>
      </c>
      <c r="J21">
        <f>SmtRes!AO22</f>
        <v>1</v>
      </c>
      <c r="K21">
        <f>SmtRes!AF22</f>
        <v>125.13</v>
      </c>
      <c r="L21">
        <f>SmtRes!DB22</f>
        <v>223.98</v>
      </c>
      <c r="M21">
        <f>ROUND(ROUND(L21*Source!I34, 6)*1, 2)</f>
        <v>188.95</v>
      </c>
      <c r="N21">
        <f>SmtRes!AB22</f>
        <v>131.01</v>
      </c>
      <c r="O21">
        <f>ROUND(ROUND(L21*Source!I34, 6)*SmtRes!DA22, 2)</f>
        <v>188.95</v>
      </c>
      <c r="P21">
        <f>SmtRes!AG22</f>
        <v>24.74</v>
      </c>
      <c r="Q21">
        <f>SmtRes!DC22</f>
        <v>44.28</v>
      </c>
      <c r="R21">
        <f>ROUND(ROUND(Q21*Source!I34, 6)*1, 2)</f>
        <v>37.35</v>
      </c>
      <c r="S21">
        <f>SmtRes!AC22</f>
        <v>25.9</v>
      </c>
      <c r="T21">
        <f>ROUND(ROUND(Q21*Source!I34, 6)*SmtRes!AK22, 2)</f>
        <v>37.35</v>
      </c>
      <c r="U21">
        <f>SmtRes!X22</f>
        <v>856318566</v>
      </c>
      <c r="V21">
        <v>-1785549983</v>
      </c>
      <c r="W21">
        <v>-796572181</v>
      </c>
    </row>
    <row r="22" spans="1:23">
      <c r="A22">
        <f>Source!A34</f>
        <v>17</v>
      </c>
      <c r="C22">
        <v>2</v>
      </c>
      <c r="D22">
        <v>0</v>
      </c>
      <c r="E22">
        <f>SmtRes!AV21</f>
        <v>0</v>
      </c>
      <c r="F22" t="str">
        <f>SmtRes!I21</f>
        <v>2.1-5-3</v>
      </c>
      <c r="G22" t="str">
        <f>SmtRes!K21</f>
        <v>Катки самоходные вибрационные, масса более 8 т</v>
      </c>
      <c r="H22" t="str">
        <f>SmtRes!O21</f>
        <v>маш.-ч.</v>
      </c>
      <c r="I22">
        <f>SmtRes!Y21*Source!I34</f>
        <v>12.316559999999999</v>
      </c>
      <c r="J22">
        <f>SmtRes!AO21</f>
        <v>1</v>
      </c>
      <c r="K22">
        <f>SmtRes!AF21</f>
        <v>119.77</v>
      </c>
      <c r="L22">
        <f>SmtRes!DB21</f>
        <v>1748.64</v>
      </c>
      <c r="M22">
        <f>ROUND(ROUND(L22*Source!I34, 6)*1, 2)</f>
        <v>1475.15</v>
      </c>
      <c r="N22">
        <f>SmtRes!AB21</f>
        <v>125.4</v>
      </c>
      <c r="O22">
        <f>ROUND(ROUND(L22*Source!I34, 6)*SmtRes!DA21, 2)</f>
        <v>1475.15</v>
      </c>
      <c r="P22">
        <f>SmtRes!AG21</f>
        <v>22.85</v>
      </c>
      <c r="Q22">
        <f>SmtRes!DC21</f>
        <v>333.61</v>
      </c>
      <c r="R22">
        <f>ROUND(ROUND(Q22*Source!I34, 6)*1, 2)</f>
        <v>281.43</v>
      </c>
      <c r="S22">
        <f>SmtRes!AC21</f>
        <v>23.92</v>
      </c>
      <c r="T22">
        <f>ROUND(ROUND(Q22*Source!I34, 6)*SmtRes!AK21, 2)</f>
        <v>281.43</v>
      </c>
      <c r="U22">
        <f>SmtRes!X21</f>
        <v>205895447</v>
      </c>
      <c r="V22">
        <v>-1925184864</v>
      </c>
      <c r="W22">
        <v>-977067458</v>
      </c>
    </row>
    <row r="23" spans="1:23">
      <c r="A23">
        <f>Source!A34</f>
        <v>17</v>
      </c>
      <c r="C23">
        <v>2</v>
      </c>
      <c r="D23">
        <v>0</v>
      </c>
      <c r="E23">
        <f>SmtRes!AV20</f>
        <v>0</v>
      </c>
      <c r="F23" t="str">
        <f>SmtRes!I20</f>
        <v>2.1-5-2</v>
      </c>
      <c r="G23" t="str">
        <f>SmtRes!K20</f>
        <v>Катки самоходные вибрационные, масса до 8 т</v>
      </c>
      <c r="H23" t="str">
        <f>SmtRes!O20</f>
        <v>маш.-ч.</v>
      </c>
      <c r="I23">
        <f>SmtRes!Y20*Source!I34</f>
        <v>6.0486120000000003</v>
      </c>
      <c r="J23">
        <f>SmtRes!AO20</f>
        <v>1</v>
      </c>
      <c r="K23">
        <f>SmtRes!AF20</f>
        <v>84.82</v>
      </c>
      <c r="L23">
        <f>SmtRes!DB20</f>
        <v>608.16</v>
      </c>
      <c r="M23">
        <f>ROUND(ROUND(L23*Source!I34, 6)*1, 2)</f>
        <v>513.04</v>
      </c>
      <c r="N23">
        <f>SmtRes!AB20</f>
        <v>88.81</v>
      </c>
      <c r="O23">
        <f>ROUND(ROUND(L23*Source!I34, 6)*SmtRes!DA20, 2)</f>
        <v>513.04</v>
      </c>
      <c r="P23">
        <f>SmtRes!AG20</f>
        <v>22.85</v>
      </c>
      <c r="Q23">
        <f>SmtRes!DC20</f>
        <v>163.83000000000001</v>
      </c>
      <c r="R23">
        <f>ROUND(ROUND(Q23*Source!I34, 6)*1, 2)</f>
        <v>138.21</v>
      </c>
      <c r="S23">
        <f>SmtRes!AC20</f>
        <v>23.92</v>
      </c>
      <c r="T23">
        <f>ROUND(ROUND(Q23*Source!I34, 6)*SmtRes!AK20, 2)</f>
        <v>138.21</v>
      </c>
      <c r="U23">
        <f>SmtRes!X20</f>
        <v>-251987950</v>
      </c>
      <c r="V23">
        <v>1495438336</v>
      </c>
      <c r="W23">
        <v>-1963099646</v>
      </c>
    </row>
    <row r="24" spans="1:23">
      <c r="A24">
        <f>Source!A34</f>
        <v>17</v>
      </c>
      <c r="C24">
        <v>2</v>
      </c>
      <c r="D24">
        <v>0</v>
      </c>
      <c r="E24">
        <f>SmtRes!AV19</f>
        <v>0</v>
      </c>
      <c r="F24" t="str">
        <f>SmtRes!I19</f>
        <v>2.1-5-18</v>
      </c>
      <c r="G24" t="str">
        <f>SmtRes!K19</f>
        <v>Поливомоечные машины, емкость цистерны более 5000 л</v>
      </c>
      <c r="H24" t="str">
        <f>SmtRes!O19</f>
        <v>маш.-ч.</v>
      </c>
      <c r="I24">
        <f>SmtRes!Y19*Source!I34</f>
        <v>0.76767600000000003</v>
      </c>
      <c r="J24">
        <f>SmtRes!AO19</f>
        <v>1</v>
      </c>
      <c r="K24">
        <f>SmtRes!AF19</f>
        <v>140.58000000000001</v>
      </c>
      <c r="L24">
        <f>SmtRes!DB19</f>
        <v>127.93</v>
      </c>
      <c r="M24">
        <f>ROUND(ROUND(L24*Source!I34, 6)*1, 2)</f>
        <v>107.92</v>
      </c>
      <c r="N24">
        <f>SmtRes!AB19</f>
        <v>147.19</v>
      </c>
      <c r="O24">
        <f>ROUND(ROUND(L24*Source!I34, 6)*SmtRes!DA19, 2)</f>
        <v>107.92</v>
      </c>
      <c r="P24">
        <f>SmtRes!AG19</f>
        <v>28.61</v>
      </c>
      <c r="Q24">
        <f>SmtRes!DC19</f>
        <v>26.04</v>
      </c>
      <c r="R24">
        <f>ROUND(ROUND(Q24*Source!I34, 6)*1, 2)</f>
        <v>21.97</v>
      </c>
      <c r="S24">
        <f>SmtRes!AC19</f>
        <v>29.95</v>
      </c>
      <c r="T24">
        <f>ROUND(ROUND(Q24*Source!I34, 6)*SmtRes!AK19, 2)</f>
        <v>21.97</v>
      </c>
      <c r="U24">
        <f>SmtRes!X19</f>
        <v>378346098</v>
      </c>
      <c r="V24">
        <v>-656460772</v>
      </c>
      <c r="W24">
        <v>1449392439</v>
      </c>
    </row>
    <row r="25" spans="1:23">
      <c r="A25">
        <f>Source!A34</f>
        <v>17</v>
      </c>
      <c r="C25">
        <v>2</v>
      </c>
      <c r="D25">
        <v>0</v>
      </c>
      <c r="E25">
        <f>SmtRes!AV18</f>
        <v>0</v>
      </c>
      <c r="F25" t="str">
        <f>SmtRes!I18</f>
        <v>2.1-1-43</v>
      </c>
      <c r="G25" t="str">
        <f>SmtRes!K18</f>
        <v>Бульдозеры гусеничные, мощность до 59 кВт (80 л.с.)</v>
      </c>
      <c r="H25" t="str">
        <f>SmtRes!O18</f>
        <v>маш.-ч.</v>
      </c>
      <c r="I25">
        <f>SmtRes!Y18*Source!I34</f>
        <v>1.9824600000000001</v>
      </c>
      <c r="J25">
        <f>SmtRes!AO18</f>
        <v>1</v>
      </c>
      <c r="K25">
        <f>SmtRes!AF18</f>
        <v>95.06</v>
      </c>
      <c r="L25">
        <f>SmtRes!DB18</f>
        <v>223.39</v>
      </c>
      <c r="M25">
        <f>ROUND(ROUND(L25*Source!I34, 6)*1, 2)</f>
        <v>188.45</v>
      </c>
      <c r="N25">
        <f>SmtRes!AB18</f>
        <v>99.53</v>
      </c>
      <c r="O25">
        <f>ROUND(ROUND(L25*Source!I34, 6)*SmtRes!DA18, 2)</f>
        <v>188.45</v>
      </c>
      <c r="P25">
        <f>SmtRes!AG18</f>
        <v>22.22</v>
      </c>
      <c r="Q25">
        <f>SmtRes!DC18</f>
        <v>52.22</v>
      </c>
      <c r="R25">
        <f>ROUND(ROUND(Q25*Source!I34, 6)*1, 2)</f>
        <v>44.05</v>
      </c>
      <c r="S25">
        <f>SmtRes!AC18</f>
        <v>23.26</v>
      </c>
      <c r="T25">
        <f>ROUND(ROUND(Q25*Source!I34, 6)*SmtRes!AK18, 2)</f>
        <v>44.05</v>
      </c>
      <c r="U25">
        <f>SmtRes!X18</f>
        <v>1109083233</v>
      </c>
      <c r="V25">
        <v>1544475478</v>
      </c>
      <c r="W25">
        <v>465923108</v>
      </c>
    </row>
    <row r="26" spans="1:23">
      <c r="A26">
        <f>Source!A35</f>
        <v>18</v>
      </c>
      <c r="B26">
        <v>35</v>
      </c>
      <c r="C26">
        <v>3</v>
      </c>
      <c r="D26">
        <f>Source!BI35</f>
        <v>1</v>
      </c>
      <c r="E26">
        <f>Source!FS35</f>
        <v>0</v>
      </c>
      <c r="F26" t="str">
        <f>Source!F35</f>
        <v>1.1-1-1550</v>
      </c>
      <c r="G26" t="str">
        <f>Source!G35</f>
        <v>Щебень из естественного камня для дорожных работ, марка 600 - 400, фракция 20-40 мм</v>
      </c>
      <c r="H26" t="str">
        <f>Source!H35</f>
        <v>м3</v>
      </c>
      <c r="I26">
        <f>Source!I35</f>
        <v>106.2936</v>
      </c>
      <c r="J26">
        <v>1</v>
      </c>
      <c r="K26">
        <f>Source!AC35</f>
        <v>173.37</v>
      </c>
      <c r="M26">
        <f>ROUND(K26*I26, 2)</f>
        <v>18428.12</v>
      </c>
      <c r="N26">
        <f>Source!AC35*IF(Source!BC35&lt;&gt; 0, Source!BC35, 1)</f>
        <v>1815.1839000000002</v>
      </c>
      <c r="O26">
        <f>ROUND(N26*I26, 2)</f>
        <v>192942.43</v>
      </c>
      <c r="P26">
        <f>Source!AE35</f>
        <v>0</v>
      </c>
      <c r="R26">
        <f>ROUND(P26*I26, 2)</f>
        <v>0</v>
      </c>
      <c r="S26">
        <f>Source!AE35*IF(Source!BS35&lt;&gt; 0, Source!BS35, 1)</f>
        <v>0</v>
      </c>
      <c r="T26">
        <f>ROUND(S26*I26, 2)</f>
        <v>0</v>
      </c>
      <c r="U26">
        <f>Source!GF35</f>
        <v>-820942871</v>
      </c>
      <c r="V26">
        <v>1968999642</v>
      </c>
      <c r="W26">
        <v>-1507855024</v>
      </c>
    </row>
    <row r="27" spans="1:23">
      <c r="A27">
        <f>Source!A36</f>
        <v>17</v>
      </c>
      <c r="C27">
        <v>3</v>
      </c>
      <c r="D27">
        <v>0</v>
      </c>
      <c r="E27">
        <f>SmtRes!AV28</f>
        <v>0</v>
      </c>
      <c r="F27" t="str">
        <f>SmtRes!I28</f>
        <v>1.1-1-46</v>
      </c>
      <c r="G27" t="str">
        <f>SmtRes!K28</f>
        <v>Битумы нефтяные, дорожные жидкие, марка МГ, СГ</v>
      </c>
      <c r="H27" t="str">
        <f>SmtRes!O28</f>
        <v>т</v>
      </c>
      <c r="I27">
        <f>SmtRes!Y28*Source!I36</f>
        <v>0.33743999999999996</v>
      </c>
      <c r="J27">
        <f>SmtRes!AO28</f>
        <v>1</v>
      </c>
      <c r="K27">
        <f>SmtRes!AE28</f>
        <v>3501.78</v>
      </c>
      <c r="L27">
        <f>SmtRes!DB28</f>
        <v>210.11</v>
      </c>
      <c r="M27">
        <f>ROUND(ROUND(L27*Source!I36, 6)*1, 2)</f>
        <v>1181.6600000000001</v>
      </c>
      <c r="N27">
        <f>SmtRes!AA28</f>
        <v>3501.78</v>
      </c>
      <c r="O27">
        <f>ROUND(ROUND(L27*Source!I36, 6)*SmtRes!DA28, 2)</f>
        <v>1181.6600000000001</v>
      </c>
      <c r="P27">
        <f>SmtRes!AG28</f>
        <v>0</v>
      </c>
      <c r="Q27">
        <f>SmtRes!DC28</f>
        <v>0</v>
      </c>
      <c r="R27">
        <f>ROUND(ROUND(Q27*Source!I36, 6)*1, 2)</f>
        <v>0</v>
      </c>
      <c r="S27">
        <f>SmtRes!AC28</f>
        <v>0</v>
      </c>
      <c r="T27">
        <f>ROUND(ROUND(Q27*Source!I36, 6)*SmtRes!AK28, 2)</f>
        <v>0</v>
      </c>
      <c r="U27">
        <f>SmtRes!X28</f>
        <v>435343267</v>
      </c>
      <c r="V27">
        <v>977557618</v>
      </c>
      <c r="W27">
        <v>977557618</v>
      </c>
    </row>
    <row r="28" spans="1:23">
      <c r="A28">
        <f>Source!A36</f>
        <v>17</v>
      </c>
      <c r="C28">
        <v>2</v>
      </c>
      <c r="D28">
        <v>0</v>
      </c>
      <c r="E28">
        <f>SmtRes!AV27</f>
        <v>0</v>
      </c>
      <c r="F28" t="str">
        <f>SmtRes!I27</f>
        <v>2.1-5-2</v>
      </c>
      <c r="G28" t="str">
        <f>SmtRes!K27</f>
        <v>Катки самоходные вибрационные, масса до 8 т</v>
      </c>
      <c r="H28" t="str">
        <f>SmtRes!O27</f>
        <v>маш.-ч.</v>
      </c>
      <c r="I28">
        <f>SmtRes!Y27*Source!I36</f>
        <v>3.9930399999999997</v>
      </c>
      <c r="J28">
        <f>SmtRes!AO27</f>
        <v>1</v>
      </c>
      <c r="K28">
        <f>SmtRes!AF27</f>
        <v>84.82</v>
      </c>
      <c r="L28">
        <f>SmtRes!DB27</f>
        <v>60.22</v>
      </c>
      <c r="M28">
        <f>ROUND(ROUND(L28*Source!I36, 6)*1, 2)</f>
        <v>338.68</v>
      </c>
      <c r="N28">
        <f>SmtRes!AB27</f>
        <v>88.81</v>
      </c>
      <c r="O28">
        <f>ROUND(ROUND(L28*Source!I36, 6)*SmtRes!DA27, 2)</f>
        <v>338.68</v>
      </c>
      <c r="P28">
        <f>SmtRes!AG27</f>
        <v>22.85</v>
      </c>
      <c r="Q28">
        <f>SmtRes!DC27</f>
        <v>16.22</v>
      </c>
      <c r="R28">
        <f>ROUND(ROUND(Q28*Source!I36, 6)*1, 2)</f>
        <v>91.22</v>
      </c>
      <c r="S28">
        <f>SmtRes!AC27</f>
        <v>23.92</v>
      </c>
      <c r="T28">
        <f>ROUND(ROUND(Q28*Source!I36, 6)*SmtRes!AK27, 2)</f>
        <v>91.22</v>
      </c>
      <c r="U28">
        <f>SmtRes!X27</f>
        <v>-251987950</v>
      </c>
      <c r="V28">
        <v>1495438336</v>
      </c>
      <c r="W28">
        <v>-1963099646</v>
      </c>
    </row>
    <row r="29" spans="1:23">
      <c r="A29">
        <f>Source!A37</f>
        <v>18</v>
      </c>
      <c r="B29">
        <v>37</v>
      </c>
      <c r="C29">
        <v>3</v>
      </c>
      <c r="D29">
        <f>Source!BI37</f>
        <v>1</v>
      </c>
      <c r="E29">
        <f>Source!FS37</f>
        <v>0</v>
      </c>
      <c r="F29" t="str">
        <f>Source!F37</f>
        <v>1.3-3-51</v>
      </c>
      <c r="G29" t="str">
        <f>Source!G37</f>
        <v>Смеси асфальтобетонные дорожные горячие песчаные, тип Д, марка II</v>
      </c>
      <c r="H29" t="str">
        <f>Source!H37</f>
        <v>т</v>
      </c>
      <c r="I29">
        <f>Source!I37</f>
        <v>62.671044000000002</v>
      </c>
      <c r="J29">
        <v>1</v>
      </c>
      <c r="K29">
        <f>Source!AC37</f>
        <v>317.95999999999998</v>
      </c>
      <c r="M29">
        <f>ROUND(K29*I29, 2)</f>
        <v>19926.89</v>
      </c>
      <c r="N29">
        <f>Source!AC37*IF(Source!BC37&lt;&gt; 0, Source!BC37, 1)</f>
        <v>2623.1699999999996</v>
      </c>
      <c r="O29">
        <f>ROUND(N29*I29, 2)</f>
        <v>164396.79999999999</v>
      </c>
      <c r="P29">
        <f>Source!AE37</f>
        <v>0</v>
      </c>
      <c r="R29">
        <f>ROUND(P29*I29, 2)</f>
        <v>0</v>
      </c>
      <c r="S29">
        <f>Source!AE37*IF(Source!BS37&lt;&gt; 0, Source!BS37, 1)</f>
        <v>0</v>
      </c>
      <c r="T29">
        <f>ROUND(S29*I29, 2)</f>
        <v>0</v>
      </c>
      <c r="U29">
        <f>Source!GF37</f>
        <v>-956564323</v>
      </c>
      <c r="V29">
        <v>61099551</v>
      </c>
      <c r="W29">
        <v>-906958896</v>
      </c>
    </row>
    <row r="30" spans="1:23">
      <c r="A30">
        <f>Source!A69</f>
        <v>4</v>
      </c>
      <c r="B30">
        <v>69</v>
      </c>
      <c r="G30" t="str">
        <f>Source!G69</f>
        <v>27.1 Плиточное покрытие</v>
      </c>
    </row>
    <row r="31" spans="1:23">
      <c r="A31">
        <f>Source!A73</f>
        <v>17</v>
      </c>
      <c r="C31">
        <v>2</v>
      </c>
      <c r="D31">
        <v>0</v>
      </c>
      <c r="E31">
        <f>SmtRes!AV32</f>
        <v>0</v>
      </c>
      <c r="F31" t="str">
        <f>SmtRes!I32</f>
        <v>2.1-1-44</v>
      </c>
      <c r="G31" t="str">
        <f>SmtRes!K32</f>
        <v>Бульдозеры гусеничные, мощность до 79 кВт (108 л.с.)</v>
      </c>
      <c r="H31" t="str">
        <f>SmtRes!O32</f>
        <v>маш.-ч.</v>
      </c>
      <c r="I31">
        <f>SmtRes!Y32*Source!I73</f>
        <v>0.30095442</v>
      </c>
      <c r="J31">
        <f>SmtRes!AO32</f>
        <v>1</v>
      </c>
      <c r="K31">
        <f>SmtRes!AF32</f>
        <v>110.31</v>
      </c>
      <c r="L31">
        <f>SmtRes!DB32</f>
        <v>109.98</v>
      </c>
      <c r="M31">
        <f>ROUND(ROUND(L31*Source!I73, 6)*1, 2)</f>
        <v>33.200000000000003</v>
      </c>
      <c r="N31">
        <f>SmtRes!AB32</f>
        <v>131.49</v>
      </c>
      <c r="O31">
        <f>ROUND(ROUND(L31*Source!I73, 6)*SmtRes!DA32, 2)</f>
        <v>33.200000000000003</v>
      </c>
      <c r="P31">
        <f>SmtRes!AG32</f>
        <v>26.52</v>
      </c>
      <c r="Q31">
        <f>SmtRes!DC32</f>
        <v>26.44</v>
      </c>
      <c r="R31">
        <f>ROUND(ROUND(Q31*Source!I73, 6)*1, 2)</f>
        <v>7.98</v>
      </c>
      <c r="S31">
        <f>SmtRes!AC32</f>
        <v>31.61</v>
      </c>
      <c r="T31">
        <f>ROUND(ROUND(Q31*Source!I73, 6)*SmtRes!AK32, 2)</f>
        <v>7.98</v>
      </c>
      <c r="U31">
        <f>SmtRes!X32</f>
        <v>695902881</v>
      </c>
      <c r="V31">
        <v>-190654433</v>
      </c>
      <c r="W31">
        <v>2001007343</v>
      </c>
    </row>
    <row r="32" spans="1:23">
      <c r="A32">
        <f>Source!A73</f>
        <v>17</v>
      </c>
      <c r="C32">
        <v>2</v>
      </c>
      <c r="D32">
        <v>0</v>
      </c>
      <c r="E32">
        <f>SmtRes!AV31</f>
        <v>0</v>
      </c>
      <c r="F32" t="str">
        <f>SmtRes!I31</f>
        <v>2.1-1-4</v>
      </c>
      <c r="G32" t="str">
        <f>SmtRes!K31</f>
        <v>Экскаваторы на гусеничном ходу гидравлические, объем ковша до 0,5 м3</v>
      </c>
      <c r="H32" t="str">
        <f>SmtRes!O31</f>
        <v>маш.-ч.</v>
      </c>
      <c r="I32">
        <f>SmtRes!Y31*Source!I73</f>
        <v>1.20366675</v>
      </c>
      <c r="J32">
        <f>SmtRes!AO31</f>
        <v>1</v>
      </c>
      <c r="K32">
        <f>SmtRes!AF31</f>
        <v>162.4</v>
      </c>
      <c r="L32">
        <f>SmtRes!DB31</f>
        <v>647.57000000000005</v>
      </c>
      <c r="M32">
        <f>ROUND(ROUND(L32*Source!I73, 6)*1, 2)</f>
        <v>195.48</v>
      </c>
      <c r="N32">
        <f>SmtRes!AB31</f>
        <v>193.58</v>
      </c>
      <c r="O32">
        <f>ROUND(ROUND(L32*Source!I73, 6)*SmtRes!DA31, 2)</f>
        <v>195.48</v>
      </c>
      <c r="P32">
        <f>SmtRes!AG31</f>
        <v>28.6</v>
      </c>
      <c r="Q32">
        <f>SmtRes!DC31</f>
        <v>114.04</v>
      </c>
      <c r="R32">
        <f>ROUND(ROUND(Q32*Source!I73, 6)*1, 2)</f>
        <v>34.42</v>
      </c>
      <c r="S32">
        <f>SmtRes!AC31</f>
        <v>34.090000000000003</v>
      </c>
      <c r="T32">
        <f>ROUND(ROUND(Q32*Source!I73, 6)*SmtRes!AK31, 2)</f>
        <v>34.42</v>
      </c>
      <c r="U32">
        <f>SmtRes!X31</f>
        <v>781556702</v>
      </c>
      <c r="V32">
        <v>-1266550935</v>
      </c>
      <c r="W32">
        <v>-315765011</v>
      </c>
    </row>
    <row r="33" spans="1:23">
      <c r="A33">
        <f>Source!A76</f>
        <v>17</v>
      </c>
      <c r="C33">
        <v>3</v>
      </c>
      <c r="D33">
        <v>0</v>
      </c>
      <c r="E33">
        <f>SmtRes!AV41</f>
        <v>0</v>
      </c>
      <c r="F33" t="str">
        <f>SmtRes!I41</f>
        <v>1.1-1-118</v>
      </c>
      <c r="G33" t="str">
        <f>SmtRes!K41</f>
        <v>Вода</v>
      </c>
      <c r="H33" t="str">
        <f>SmtRes!O41</f>
        <v>м3</v>
      </c>
      <c r="I33">
        <f>SmtRes!Y41*Source!I76</f>
        <v>0.78</v>
      </c>
      <c r="J33">
        <f>SmtRes!AO41</f>
        <v>1</v>
      </c>
      <c r="K33">
        <f>SmtRes!AE41</f>
        <v>7.07</v>
      </c>
      <c r="L33">
        <f>SmtRes!DB41</f>
        <v>35.35</v>
      </c>
      <c r="M33">
        <f>ROUND(ROUND(L33*Source!I76, 6)*1, 2)</f>
        <v>5.51</v>
      </c>
      <c r="N33">
        <f>SmtRes!AA41</f>
        <v>7.08</v>
      </c>
      <c r="O33">
        <f>ROUND(ROUND(L33*Source!I76, 6)*SmtRes!DA41, 2)</f>
        <v>5.51</v>
      </c>
      <c r="P33">
        <f>SmtRes!AG41</f>
        <v>0</v>
      </c>
      <c r="Q33">
        <f>SmtRes!DC41</f>
        <v>0</v>
      </c>
      <c r="R33">
        <f>ROUND(ROUND(Q33*Source!I76, 6)*1, 2)</f>
        <v>0</v>
      </c>
      <c r="S33">
        <f>SmtRes!AC41</f>
        <v>0</v>
      </c>
      <c r="T33">
        <f>ROUND(ROUND(Q33*Source!I76, 6)*SmtRes!AK41, 2)</f>
        <v>0</v>
      </c>
      <c r="U33">
        <f>SmtRes!X41</f>
        <v>-862991314</v>
      </c>
      <c r="V33">
        <v>209219300</v>
      </c>
      <c r="W33">
        <v>-1664650379</v>
      </c>
    </row>
    <row r="34" spans="1:23">
      <c r="A34">
        <f>Source!A76</f>
        <v>17</v>
      </c>
      <c r="C34">
        <v>2</v>
      </c>
      <c r="D34">
        <v>0</v>
      </c>
      <c r="E34">
        <f>SmtRes!AV40</f>
        <v>0</v>
      </c>
      <c r="F34" t="str">
        <f>SmtRes!I40</f>
        <v>2.1-5-7</v>
      </c>
      <c r="G34" t="str">
        <f>SmtRes!K40</f>
        <v>Катки дорожные самоходные на пневмоколесном ходу, масса до 16 т</v>
      </c>
      <c r="H34" t="str">
        <f>SmtRes!O40</f>
        <v>маш.-ч.</v>
      </c>
      <c r="I34">
        <f>SmtRes!Y40*Source!I76</f>
        <v>8.1119999999999998E-2</v>
      </c>
      <c r="J34">
        <f>SmtRes!AO40</f>
        <v>1</v>
      </c>
      <c r="K34">
        <f>SmtRes!AF40</f>
        <v>178.02</v>
      </c>
      <c r="L34">
        <f>SmtRes!DB40</f>
        <v>92.57</v>
      </c>
      <c r="M34">
        <f>ROUND(ROUND(L34*Source!I76, 6)*1, 2)</f>
        <v>14.44</v>
      </c>
      <c r="N34">
        <f>SmtRes!AB40</f>
        <v>186.39</v>
      </c>
      <c r="O34">
        <f>ROUND(ROUND(L34*Source!I76, 6)*SmtRes!DA40, 2)</f>
        <v>14.44</v>
      </c>
      <c r="P34">
        <f>SmtRes!AG40</f>
        <v>23.5</v>
      </c>
      <c r="Q34">
        <f>SmtRes!DC40</f>
        <v>12.22</v>
      </c>
      <c r="R34">
        <f>ROUND(ROUND(Q34*Source!I76, 6)*1, 2)</f>
        <v>1.91</v>
      </c>
      <c r="S34">
        <f>SmtRes!AC40</f>
        <v>24.6</v>
      </c>
      <c r="T34">
        <f>ROUND(ROUND(Q34*Source!I76, 6)*SmtRes!AK40, 2)</f>
        <v>1.91</v>
      </c>
      <c r="U34">
        <f>SmtRes!X40</f>
        <v>2023875219</v>
      </c>
      <c r="V34">
        <v>1989037200</v>
      </c>
      <c r="W34">
        <v>-1459739079</v>
      </c>
    </row>
    <row r="35" spans="1:23">
      <c r="A35">
        <f>Source!A76</f>
        <v>17</v>
      </c>
      <c r="C35">
        <v>2</v>
      </c>
      <c r="D35">
        <v>0</v>
      </c>
      <c r="E35">
        <f>SmtRes!AV39</f>
        <v>0</v>
      </c>
      <c r="F35" t="str">
        <f>SmtRes!I39</f>
        <v>2.1-5-48</v>
      </c>
      <c r="G35" t="str">
        <f>SmtRes!K39</f>
        <v>Автогрейдеры, мощность 99-147 кВт (130-200 л.с.)</v>
      </c>
      <c r="H35" t="str">
        <f>SmtRes!O39</f>
        <v>маш.-ч.</v>
      </c>
      <c r="I35">
        <f>SmtRes!Y39*Source!I76</f>
        <v>0.24180000000000001</v>
      </c>
      <c r="J35">
        <f>SmtRes!AO39</f>
        <v>1</v>
      </c>
      <c r="K35">
        <f>SmtRes!AF39</f>
        <v>125.13</v>
      </c>
      <c r="L35">
        <f>SmtRes!DB39</f>
        <v>193.95</v>
      </c>
      <c r="M35">
        <f>ROUND(ROUND(L35*Source!I76, 6)*1, 2)</f>
        <v>30.26</v>
      </c>
      <c r="N35">
        <f>SmtRes!AB39</f>
        <v>131.01</v>
      </c>
      <c r="O35">
        <f>ROUND(ROUND(L35*Source!I76, 6)*SmtRes!DA39, 2)</f>
        <v>30.26</v>
      </c>
      <c r="P35">
        <f>SmtRes!AG39</f>
        <v>24.74</v>
      </c>
      <c r="Q35">
        <f>SmtRes!DC39</f>
        <v>38.35</v>
      </c>
      <c r="R35">
        <f>ROUND(ROUND(Q35*Source!I76, 6)*1, 2)</f>
        <v>5.98</v>
      </c>
      <c r="S35">
        <f>SmtRes!AC39</f>
        <v>25.9</v>
      </c>
      <c r="T35">
        <f>ROUND(ROUND(Q35*Source!I76, 6)*SmtRes!AK39, 2)</f>
        <v>5.98</v>
      </c>
      <c r="U35">
        <f>SmtRes!X39</f>
        <v>856318566</v>
      </c>
      <c r="V35">
        <v>-1785549983</v>
      </c>
      <c r="W35">
        <v>-796572181</v>
      </c>
    </row>
    <row r="36" spans="1:23">
      <c r="A36">
        <f>Source!A76</f>
        <v>17</v>
      </c>
      <c r="C36">
        <v>2</v>
      </c>
      <c r="D36">
        <v>0</v>
      </c>
      <c r="E36">
        <f>SmtRes!AV38</f>
        <v>0</v>
      </c>
      <c r="F36" t="str">
        <f>SmtRes!I38</f>
        <v>2.1-5-18</v>
      </c>
      <c r="G36" t="str">
        <f>SmtRes!K38</f>
        <v>Поливомоечные машины, емкость цистерны более 5000 л</v>
      </c>
      <c r="H36" t="str">
        <f>SmtRes!O38</f>
        <v>маш.-ч.</v>
      </c>
      <c r="I36">
        <f>SmtRes!Y38*Source!I76</f>
        <v>0.1014</v>
      </c>
      <c r="J36">
        <f>SmtRes!AO38</f>
        <v>1</v>
      </c>
      <c r="K36">
        <f>SmtRes!AF38</f>
        <v>140.58000000000001</v>
      </c>
      <c r="L36">
        <f>SmtRes!DB38</f>
        <v>91.38</v>
      </c>
      <c r="M36">
        <f>ROUND(ROUND(L36*Source!I76, 6)*1, 2)</f>
        <v>14.26</v>
      </c>
      <c r="N36">
        <f>SmtRes!AB38</f>
        <v>147.19</v>
      </c>
      <c r="O36">
        <f>ROUND(ROUND(L36*Source!I76, 6)*SmtRes!DA38, 2)</f>
        <v>14.26</v>
      </c>
      <c r="P36">
        <f>SmtRes!AG38</f>
        <v>28.61</v>
      </c>
      <c r="Q36">
        <f>SmtRes!DC38</f>
        <v>18.600000000000001</v>
      </c>
      <c r="R36">
        <f>ROUND(ROUND(Q36*Source!I76, 6)*1, 2)</f>
        <v>2.9</v>
      </c>
      <c r="S36">
        <f>SmtRes!AC38</f>
        <v>29.95</v>
      </c>
      <c r="T36">
        <f>ROUND(ROUND(Q36*Source!I76, 6)*SmtRes!AK38, 2)</f>
        <v>2.9</v>
      </c>
      <c r="U36">
        <f>SmtRes!X38</f>
        <v>378346098</v>
      </c>
      <c r="V36">
        <v>-656460772</v>
      </c>
      <c r="W36">
        <v>1449392439</v>
      </c>
    </row>
    <row r="37" spans="1:23">
      <c r="A37">
        <f>Source!A76</f>
        <v>17</v>
      </c>
      <c r="C37">
        <v>2</v>
      </c>
      <c r="D37">
        <v>0</v>
      </c>
      <c r="E37">
        <f>SmtRes!AV37</f>
        <v>0</v>
      </c>
      <c r="F37" t="str">
        <f>SmtRes!I37</f>
        <v>2.1-5-15</v>
      </c>
      <c r="G37" t="str">
        <f>SmtRes!K37</f>
        <v>Катки прицепные пневмоколесные, масса до 50 т</v>
      </c>
      <c r="H37" t="str">
        <f>SmtRes!O37</f>
        <v>маш.-ч.</v>
      </c>
      <c r="I37">
        <f>SmtRes!Y37*Source!I76</f>
        <v>0.25895999999999997</v>
      </c>
      <c r="J37">
        <f>SmtRes!AO37</f>
        <v>1</v>
      </c>
      <c r="K37">
        <f>SmtRes!AF37</f>
        <v>62.97</v>
      </c>
      <c r="L37">
        <f>SmtRes!DB37</f>
        <v>104.53</v>
      </c>
      <c r="M37">
        <f>ROUND(ROUND(L37*Source!I76, 6)*1, 2)</f>
        <v>16.309999999999999</v>
      </c>
      <c r="N37">
        <f>SmtRes!AB37</f>
        <v>65.930000000000007</v>
      </c>
      <c r="O37">
        <f>ROUND(ROUND(L37*Source!I76, 6)*SmtRes!DA37, 2)</f>
        <v>16.309999999999999</v>
      </c>
      <c r="P37">
        <f>SmtRes!AG37</f>
        <v>6.64</v>
      </c>
      <c r="Q37">
        <f>SmtRes!DC37</f>
        <v>11.02</v>
      </c>
      <c r="R37">
        <f>ROUND(ROUND(Q37*Source!I76, 6)*1, 2)</f>
        <v>1.72</v>
      </c>
      <c r="S37">
        <f>SmtRes!AC37</f>
        <v>6.95</v>
      </c>
      <c r="T37">
        <f>ROUND(ROUND(Q37*Source!I76, 6)*SmtRes!AK37, 2)</f>
        <v>1.72</v>
      </c>
      <c r="U37">
        <f>SmtRes!X37</f>
        <v>142191915</v>
      </c>
      <c r="V37">
        <v>100101108</v>
      </c>
      <c r="W37">
        <v>-1622304940</v>
      </c>
    </row>
    <row r="38" spans="1:23">
      <c r="A38">
        <f>Source!A76</f>
        <v>17</v>
      </c>
      <c r="C38">
        <v>2</v>
      </c>
      <c r="D38">
        <v>0</v>
      </c>
      <c r="E38">
        <f>SmtRes!AV36</f>
        <v>0</v>
      </c>
      <c r="F38" t="str">
        <f>SmtRes!I36</f>
        <v>2.1-2-1</v>
      </c>
      <c r="G38" t="str">
        <f>SmtRes!K36</f>
        <v>Тракторы на гусеничном ходу, мощность до 60 кВт (81 л.с.)</v>
      </c>
      <c r="H38" t="str">
        <f>SmtRes!O36</f>
        <v>маш.-ч.</v>
      </c>
      <c r="I38">
        <f>SmtRes!Y36*Source!I76</f>
        <v>0.25895999999999997</v>
      </c>
      <c r="J38">
        <f>SmtRes!AO36</f>
        <v>1</v>
      </c>
      <c r="K38">
        <f>SmtRes!AF36</f>
        <v>116.89</v>
      </c>
      <c r="L38">
        <f>SmtRes!DB36</f>
        <v>194.04</v>
      </c>
      <c r="M38">
        <f>ROUND(ROUND(L38*Source!I76, 6)*1, 2)</f>
        <v>30.27</v>
      </c>
      <c r="N38">
        <f>SmtRes!AB36</f>
        <v>122.38</v>
      </c>
      <c r="O38">
        <f>ROUND(ROUND(L38*Source!I76, 6)*SmtRes!DA36, 2)</f>
        <v>30.27</v>
      </c>
      <c r="P38">
        <f>SmtRes!AG36</f>
        <v>23.41</v>
      </c>
      <c r="Q38">
        <f>SmtRes!DC36</f>
        <v>38.86</v>
      </c>
      <c r="R38">
        <f>ROUND(ROUND(Q38*Source!I76, 6)*1, 2)</f>
        <v>6.06</v>
      </c>
      <c r="S38">
        <f>SmtRes!AC36</f>
        <v>24.51</v>
      </c>
      <c r="T38">
        <f>ROUND(ROUND(Q38*Source!I76, 6)*SmtRes!AK36, 2)</f>
        <v>6.06</v>
      </c>
      <c r="U38">
        <f>SmtRes!X36</f>
        <v>1928543733</v>
      </c>
      <c r="V38">
        <v>482636110</v>
      </c>
      <c r="W38">
        <v>1089828244</v>
      </c>
    </row>
    <row r="39" spans="1:23">
      <c r="A39">
        <f>Source!A77</f>
        <v>18</v>
      </c>
      <c r="B39">
        <v>77</v>
      </c>
      <c r="C39">
        <v>3</v>
      </c>
      <c r="D39">
        <f>Source!BI77</f>
        <v>1</v>
      </c>
      <c r="E39">
        <f>Source!FS77</f>
        <v>0</v>
      </c>
      <c r="F39" t="str">
        <f>Source!F77</f>
        <v>1.1-1-766</v>
      </c>
      <c r="G39" t="str">
        <f>Source!G77</f>
        <v>Песок для строительных работ, рядовой</v>
      </c>
      <c r="H39" t="str">
        <f>Source!H77</f>
        <v>м3</v>
      </c>
      <c r="I39">
        <f>Source!I77</f>
        <v>17.16</v>
      </c>
      <c r="J39">
        <v>1</v>
      </c>
      <c r="K39">
        <f>Source!AC77</f>
        <v>104.99</v>
      </c>
      <c r="M39">
        <f>ROUND(K39*I39, 2)</f>
        <v>1801.63</v>
      </c>
      <c r="N39">
        <f>Source!AC77*IF(Source!BC77&lt;&gt; 0, Source!BC77, 1)</f>
        <v>552.24739999999997</v>
      </c>
      <c r="O39">
        <f>ROUND(N39*I39, 2)</f>
        <v>9476.57</v>
      </c>
      <c r="P39">
        <f>Source!AE77</f>
        <v>0</v>
      </c>
      <c r="R39">
        <f>ROUND(P39*I39, 2)</f>
        <v>0</v>
      </c>
      <c r="S39">
        <f>Source!AE77*IF(Source!BS77&lt;&gt; 0, Source!BS77, 1)</f>
        <v>0</v>
      </c>
      <c r="T39">
        <f>ROUND(S39*I39, 2)</f>
        <v>0</v>
      </c>
      <c r="U39">
        <f>Source!GF77</f>
        <v>2069056849</v>
      </c>
      <c r="V39">
        <v>464578271</v>
      </c>
      <c r="W39">
        <v>1615926593</v>
      </c>
    </row>
    <row r="40" spans="1:23">
      <c r="A40">
        <f>Source!A78</f>
        <v>17</v>
      </c>
      <c r="C40">
        <v>3</v>
      </c>
      <c r="D40">
        <v>0</v>
      </c>
      <c r="E40">
        <f>SmtRes!AV50</f>
        <v>0</v>
      </c>
      <c r="F40" t="str">
        <f>SmtRes!I50</f>
        <v>1.1-1-118</v>
      </c>
      <c r="G40" t="str">
        <f>SmtRes!K50</f>
        <v>Вода</v>
      </c>
      <c r="H40" t="str">
        <f>SmtRes!O50</f>
        <v>м3</v>
      </c>
      <c r="I40">
        <f>SmtRes!Y50*Source!I78</f>
        <v>0.6552</v>
      </c>
      <c r="J40">
        <f>SmtRes!AO50</f>
        <v>1</v>
      </c>
      <c r="K40">
        <f>SmtRes!AE50</f>
        <v>7.07</v>
      </c>
      <c r="L40">
        <f>SmtRes!DB50</f>
        <v>49.49</v>
      </c>
      <c r="M40">
        <f>ROUND(ROUND(L40*Source!I78, 6)*1, 2)</f>
        <v>4.63</v>
      </c>
      <c r="N40">
        <f>SmtRes!AA50</f>
        <v>7.08</v>
      </c>
      <c r="O40">
        <f>ROUND(ROUND(L40*Source!I78, 6)*SmtRes!DA50, 2)</f>
        <v>4.63</v>
      </c>
      <c r="P40">
        <f>SmtRes!AG50</f>
        <v>0</v>
      </c>
      <c r="Q40">
        <f>SmtRes!DC50</f>
        <v>0</v>
      </c>
      <c r="R40">
        <f>ROUND(ROUND(Q40*Source!I78, 6)*1, 2)</f>
        <v>0</v>
      </c>
      <c r="S40">
        <f>SmtRes!AC50</f>
        <v>0</v>
      </c>
      <c r="T40">
        <f>ROUND(ROUND(Q40*Source!I78, 6)*SmtRes!AK50, 2)</f>
        <v>0</v>
      </c>
      <c r="U40">
        <f>SmtRes!X50</f>
        <v>-862991314</v>
      </c>
      <c r="V40">
        <v>209219300</v>
      </c>
      <c r="W40">
        <v>-1664650379</v>
      </c>
    </row>
    <row r="41" spans="1:23">
      <c r="A41">
        <f>Source!A78</f>
        <v>17</v>
      </c>
      <c r="C41">
        <v>2</v>
      </c>
      <c r="D41">
        <v>0</v>
      </c>
      <c r="E41">
        <f>SmtRes!AV49</f>
        <v>0</v>
      </c>
      <c r="F41" t="str">
        <f>SmtRes!I49</f>
        <v>2.1-5-7</v>
      </c>
      <c r="G41" t="str">
        <f>SmtRes!K49</f>
        <v>Катки дорожные самоходные на пневмоколесном ходу, масса до 16 т</v>
      </c>
      <c r="H41" t="str">
        <f>SmtRes!O49</f>
        <v>маш.-ч.</v>
      </c>
      <c r="I41">
        <f>SmtRes!Y49*Source!I78</f>
        <v>4.8672E-2</v>
      </c>
      <c r="J41">
        <f>SmtRes!AO49</f>
        <v>1</v>
      </c>
      <c r="K41">
        <f>SmtRes!AF49</f>
        <v>178.02</v>
      </c>
      <c r="L41">
        <f>SmtRes!DB49</f>
        <v>92.57</v>
      </c>
      <c r="M41">
        <f>ROUND(ROUND(L41*Source!I78, 6)*1, 2)</f>
        <v>8.66</v>
      </c>
      <c r="N41">
        <f>SmtRes!AB49</f>
        <v>186.39</v>
      </c>
      <c r="O41">
        <f>ROUND(ROUND(L41*Source!I78, 6)*SmtRes!DA49, 2)</f>
        <v>8.66</v>
      </c>
      <c r="P41">
        <f>SmtRes!AG49</f>
        <v>23.5</v>
      </c>
      <c r="Q41">
        <f>SmtRes!DC49</f>
        <v>12.22</v>
      </c>
      <c r="R41">
        <f>ROUND(ROUND(Q41*Source!I78, 6)*1, 2)</f>
        <v>1.1399999999999999</v>
      </c>
      <c r="S41">
        <f>SmtRes!AC49</f>
        <v>24.6</v>
      </c>
      <c r="T41">
        <f>ROUND(ROUND(Q41*Source!I78, 6)*SmtRes!AK49, 2)</f>
        <v>1.1399999999999999</v>
      </c>
      <c r="U41">
        <f>SmtRes!X49</f>
        <v>2023875219</v>
      </c>
      <c r="V41">
        <v>1989037200</v>
      </c>
      <c r="W41">
        <v>-1459739079</v>
      </c>
    </row>
    <row r="42" spans="1:23">
      <c r="A42">
        <f>Source!A78</f>
        <v>17</v>
      </c>
      <c r="C42">
        <v>2</v>
      </c>
      <c r="D42">
        <v>0</v>
      </c>
      <c r="E42">
        <f>SmtRes!AV48</f>
        <v>0</v>
      </c>
      <c r="F42" t="str">
        <f>SmtRes!I48</f>
        <v>2.1-5-48</v>
      </c>
      <c r="G42" t="str">
        <f>SmtRes!K48</f>
        <v>Автогрейдеры, мощность 99-147 кВт (130-200 л.с.)</v>
      </c>
      <c r="H42" t="str">
        <f>SmtRes!O48</f>
        <v>маш.-ч.</v>
      </c>
      <c r="I42">
        <f>SmtRes!Y48*Source!I78</f>
        <v>0.167544</v>
      </c>
      <c r="J42">
        <f>SmtRes!AO48</f>
        <v>1</v>
      </c>
      <c r="K42">
        <f>SmtRes!AF48</f>
        <v>125.13</v>
      </c>
      <c r="L42">
        <f>SmtRes!DB48</f>
        <v>223.98</v>
      </c>
      <c r="M42">
        <f>ROUND(ROUND(L42*Source!I78, 6)*1, 2)</f>
        <v>20.96</v>
      </c>
      <c r="N42">
        <f>SmtRes!AB48</f>
        <v>131.01</v>
      </c>
      <c r="O42">
        <f>ROUND(ROUND(L42*Source!I78, 6)*SmtRes!DA48, 2)</f>
        <v>20.96</v>
      </c>
      <c r="P42">
        <f>SmtRes!AG48</f>
        <v>24.74</v>
      </c>
      <c r="Q42">
        <f>SmtRes!DC48</f>
        <v>44.28</v>
      </c>
      <c r="R42">
        <f>ROUND(ROUND(Q42*Source!I78, 6)*1, 2)</f>
        <v>4.1399999999999997</v>
      </c>
      <c r="S42">
        <f>SmtRes!AC48</f>
        <v>25.9</v>
      </c>
      <c r="T42">
        <f>ROUND(ROUND(Q42*Source!I78, 6)*SmtRes!AK48, 2)</f>
        <v>4.1399999999999997</v>
      </c>
      <c r="U42">
        <f>SmtRes!X48</f>
        <v>856318566</v>
      </c>
      <c r="V42">
        <v>-1785549983</v>
      </c>
      <c r="W42">
        <v>-796572181</v>
      </c>
    </row>
    <row r="43" spans="1:23">
      <c r="A43">
        <f>Source!A78</f>
        <v>17</v>
      </c>
      <c r="C43">
        <v>2</v>
      </c>
      <c r="D43">
        <v>0</v>
      </c>
      <c r="E43">
        <f>SmtRes!AV47</f>
        <v>0</v>
      </c>
      <c r="F43" t="str">
        <f>SmtRes!I47</f>
        <v>2.1-5-3</v>
      </c>
      <c r="G43" t="str">
        <f>SmtRes!K47</f>
        <v>Катки самоходные вибрационные, масса более 8 т</v>
      </c>
      <c r="H43" t="str">
        <f>SmtRes!O47</f>
        <v>маш.-ч.</v>
      </c>
      <c r="I43">
        <f>SmtRes!Y47*Source!I78</f>
        <v>1.36656</v>
      </c>
      <c r="J43">
        <f>SmtRes!AO47</f>
        <v>1</v>
      </c>
      <c r="K43">
        <f>SmtRes!AF47</f>
        <v>119.77</v>
      </c>
      <c r="L43">
        <f>SmtRes!DB47</f>
        <v>1748.64</v>
      </c>
      <c r="M43">
        <f>ROUND(ROUND(L43*Source!I78, 6)*1, 2)</f>
        <v>163.66999999999999</v>
      </c>
      <c r="N43">
        <f>SmtRes!AB47</f>
        <v>125.4</v>
      </c>
      <c r="O43">
        <f>ROUND(ROUND(L43*Source!I78, 6)*SmtRes!DA47, 2)</f>
        <v>163.66999999999999</v>
      </c>
      <c r="P43">
        <f>SmtRes!AG47</f>
        <v>22.85</v>
      </c>
      <c r="Q43">
        <f>SmtRes!DC47</f>
        <v>333.61</v>
      </c>
      <c r="R43">
        <f>ROUND(ROUND(Q43*Source!I78, 6)*1, 2)</f>
        <v>31.23</v>
      </c>
      <c r="S43">
        <f>SmtRes!AC47</f>
        <v>23.92</v>
      </c>
      <c r="T43">
        <f>ROUND(ROUND(Q43*Source!I78, 6)*SmtRes!AK47, 2)</f>
        <v>31.23</v>
      </c>
      <c r="U43">
        <f>SmtRes!X47</f>
        <v>205895447</v>
      </c>
      <c r="V43">
        <v>-1925184864</v>
      </c>
      <c r="W43">
        <v>-977067458</v>
      </c>
    </row>
    <row r="44" spans="1:23">
      <c r="A44">
        <f>Source!A78</f>
        <v>17</v>
      </c>
      <c r="C44">
        <v>2</v>
      </c>
      <c r="D44">
        <v>0</v>
      </c>
      <c r="E44">
        <f>SmtRes!AV46</f>
        <v>0</v>
      </c>
      <c r="F44" t="str">
        <f>SmtRes!I46</f>
        <v>2.1-5-2</v>
      </c>
      <c r="G44" t="str">
        <f>SmtRes!K46</f>
        <v>Катки самоходные вибрационные, масса до 8 т</v>
      </c>
      <c r="H44" t="str">
        <f>SmtRes!O46</f>
        <v>маш.-ч.</v>
      </c>
      <c r="I44">
        <f>SmtRes!Y46*Source!I78</f>
        <v>0.67111200000000004</v>
      </c>
      <c r="J44">
        <f>SmtRes!AO46</f>
        <v>1</v>
      </c>
      <c r="K44">
        <f>SmtRes!AF46</f>
        <v>84.82</v>
      </c>
      <c r="L44">
        <f>SmtRes!DB46</f>
        <v>608.16</v>
      </c>
      <c r="M44">
        <f>ROUND(ROUND(L44*Source!I78, 6)*1, 2)</f>
        <v>56.92</v>
      </c>
      <c r="N44">
        <f>SmtRes!AB46</f>
        <v>88.81</v>
      </c>
      <c r="O44">
        <f>ROUND(ROUND(L44*Source!I78, 6)*SmtRes!DA46, 2)</f>
        <v>56.92</v>
      </c>
      <c r="P44">
        <f>SmtRes!AG46</f>
        <v>22.85</v>
      </c>
      <c r="Q44">
        <f>SmtRes!DC46</f>
        <v>163.83000000000001</v>
      </c>
      <c r="R44">
        <f>ROUND(ROUND(Q44*Source!I78, 6)*1, 2)</f>
        <v>15.33</v>
      </c>
      <c r="S44">
        <f>SmtRes!AC46</f>
        <v>23.92</v>
      </c>
      <c r="T44">
        <f>ROUND(ROUND(Q44*Source!I78, 6)*SmtRes!AK46, 2)</f>
        <v>15.33</v>
      </c>
      <c r="U44">
        <f>SmtRes!X46</f>
        <v>-251987950</v>
      </c>
      <c r="V44">
        <v>1495438336</v>
      </c>
      <c r="W44">
        <v>-1963099646</v>
      </c>
    </row>
    <row r="45" spans="1:23">
      <c r="A45">
        <f>Source!A78</f>
        <v>17</v>
      </c>
      <c r="C45">
        <v>2</v>
      </c>
      <c r="D45">
        <v>0</v>
      </c>
      <c r="E45">
        <f>SmtRes!AV45</f>
        <v>0</v>
      </c>
      <c r="F45" t="str">
        <f>SmtRes!I45</f>
        <v>2.1-5-18</v>
      </c>
      <c r="G45" t="str">
        <f>SmtRes!K45</f>
        <v>Поливомоечные машины, емкость цистерны более 5000 л</v>
      </c>
      <c r="H45" t="str">
        <f>SmtRes!O45</f>
        <v>маш.-ч.</v>
      </c>
      <c r="I45">
        <f>SmtRes!Y45*Source!I78</f>
        <v>8.5176000000000002E-2</v>
      </c>
      <c r="J45">
        <f>SmtRes!AO45</f>
        <v>1</v>
      </c>
      <c r="K45">
        <f>SmtRes!AF45</f>
        <v>140.58000000000001</v>
      </c>
      <c r="L45">
        <f>SmtRes!DB45</f>
        <v>127.93</v>
      </c>
      <c r="M45">
        <f>ROUND(ROUND(L45*Source!I78, 6)*1, 2)</f>
        <v>11.97</v>
      </c>
      <c r="N45">
        <f>SmtRes!AB45</f>
        <v>147.19</v>
      </c>
      <c r="O45">
        <f>ROUND(ROUND(L45*Source!I78, 6)*SmtRes!DA45, 2)</f>
        <v>11.97</v>
      </c>
      <c r="P45">
        <f>SmtRes!AG45</f>
        <v>28.61</v>
      </c>
      <c r="Q45">
        <f>SmtRes!DC45</f>
        <v>26.04</v>
      </c>
      <c r="R45">
        <f>ROUND(ROUND(Q45*Source!I78, 6)*1, 2)</f>
        <v>2.44</v>
      </c>
      <c r="S45">
        <f>SmtRes!AC45</f>
        <v>29.95</v>
      </c>
      <c r="T45">
        <f>ROUND(ROUND(Q45*Source!I78, 6)*SmtRes!AK45, 2)</f>
        <v>2.44</v>
      </c>
      <c r="U45">
        <f>SmtRes!X45</f>
        <v>378346098</v>
      </c>
      <c r="V45">
        <v>-656460772</v>
      </c>
      <c r="W45">
        <v>1449392439</v>
      </c>
    </row>
    <row r="46" spans="1:23">
      <c r="A46">
        <f>Source!A78</f>
        <v>17</v>
      </c>
      <c r="C46">
        <v>2</v>
      </c>
      <c r="D46">
        <v>0</v>
      </c>
      <c r="E46">
        <f>SmtRes!AV44</f>
        <v>0</v>
      </c>
      <c r="F46" t="str">
        <f>SmtRes!I44</f>
        <v>2.1-1-43</v>
      </c>
      <c r="G46" t="str">
        <f>SmtRes!K44</f>
        <v>Бульдозеры гусеничные, мощность до 59 кВт (80 л.с.)</v>
      </c>
      <c r="H46" t="str">
        <f>SmtRes!O44</f>
        <v>маш.-ч.</v>
      </c>
      <c r="I46">
        <f>SmtRes!Y44*Source!I78</f>
        <v>0.21996000000000002</v>
      </c>
      <c r="J46">
        <f>SmtRes!AO44</f>
        <v>1</v>
      </c>
      <c r="K46">
        <f>SmtRes!AF44</f>
        <v>95.06</v>
      </c>
      <c r="L46">
        <f>SmtRes!DB44</f>
        <v>223.39</v>
      </c>
      <c r="M46">
        <f>ROUND(ROUND(L46*Source!I78, 6)*1, 2)</f>
        <v>20.91</v>
      </c>
      <c r="N46">
        <f>SmtRes!AB44</f>
        <v>99.53</v>
      </c>
      <c r="O46">
        <f>ROUND(ROUND(L46*Source!I78, 6)*SmtRes!DA44, 2)</f>
        <v>20.91</v>
      </c>
      <c r="P46">
        <f>SmtRes!AG44</f>
        <v>22.22</v>
      </c>
      <c r="Q46">
        <f>SmtRes!DC44</f>
        <v>52.22</v>
      </c>
      <c r="R46">
        <f>ROUND(ROUND(Q46*Source!I78, 6)*1, 2)</f>
        <v>4.8899999999999997</v>
      </c>
      <c r="S46">
        <f>SmtRes!AC44</f>
        <v>23.26</v>
      </c>
      <c r="T46">
        <f>ROUND(ROUND(Q46*Source!I78, 6)*SmtRes!AK44, 2)</f>
        <v>4.8899999999999997</v>
      </c>
      <c r="U46">
        <f>SmtRes!X44</f>
        <v>1109083233</v>
      </c>
      <c r="V46">
        <v>1544475478</v>
      </c>
      <c r="W46">
        <v>465923108</v>
      </c>
    </row>
    <row r="47" spans="1:23">
      <c r="A47">
        <f>Source!A79</f>
        <v>18</v>
      </c>
      <c r="B47">
        <v>79</v>
      </c>
      <c r="C47">
        <v>3</v>
      </c>
      <c r="D47">
        <f>Source!BI79</f>
        <v>1</v>
      </c>
      <c r="E47">
        <f>Source!FS79</f>
        <v>0</v>
      </c>
      <c r="F47" t="str">
        <f>Source!F79</f>
        <v>1.1-1-1550</v>
      </c>
      <c r="G47" t="str">
        <f>Source!G79</f>
        <v>Щебень из естественного камня для дорожных работ, марка 600 - 400, фракция 20-40 мм</v>
      </c>
      <c r="H47" t="str">
        <f>Source!H79</f>
        <v>м3</v>
      </c>
      <c r="I47">
        <f>Source!I79</f>
        <v>11.7936</v>
      </c>
      <c r="J47">
        <v>1</v>
      </c>
      <c r="K47">
        <f>Source!AC79</f>
        <v>173.37</v>
      </c>
      <c r="M47">
        <f>ROUND(K47*I47, 2)</f>
        <v>2044.66</v>
      </c>
      <c r="N47">
        <f>Source!AC79*IF(Source!BC79&lt;&gt; 0, Source!BC79, 1)</f>
        <v>1815.1839000000002</v>
      </c>
      <c r="O47">
        <f>ROUND(N47*I47, 2)</f>
        <v>21407.55</v>
      </c>
      <c r="P47">
        <f>Source!AE79</f>
        <v>0</v>
      </c>
      <c r="R47">
        <f>ROUND(P47*I47, 2)</f>
        <v>0</v>
      </c>
      <c r="S47">
        <f>Source!AE79*IF(Source!BS79&lt;&gt; 0, Source!BS79, 1)</f>
        <v>0</v>
      </c>
      <c r="T47">
        <f>ROUND(S47*I47, 2)</f>
        <v>0</v>
      </c>
      <c r="U47">
        <f>Source!GF79</f>
        <v>-820942871</v>
      </c>
      <c r="V47">
        <v>1968999642</v>
      </c>
      <c r="W47">
        <v>-1507855024</v>
      </c>
    </row>
    <row r="48" spans="1:23">
      <c r="A48">
        <f>Source!A80</f>
        <v>17</v>
      </c>
      <c r="C48">
        <v>3</v>
      </c>
      <c r="D48">
        <v>0</v>
      </c>
      <c r="E48">
        <f>SmtRes!AV58</f>
        <v>0</v>
      </c>
      <c r="F48" t="str">
        <f>SmtRes!I58</f>
        <v>1.1-1-766</v>
      </c>
      <c r="G48" t="str">
        <f>SmtRes!K58</f>
        <v>Песок для строительных работ, рядовой</v>
      </c>
      <c r="H48" t="str">
        <f>SmtRes!O58</f>
        <v>м3</v>
      </c>
      <c r="I48">
        <f>SmtRes!Y58*Source!I80</f>
        <v>0.1638</v>
      </c>
      <c r="J48">
        <f>SmtRes!AO58</f>
        <v>1</v>
      </c>
      <c r="K48">
        <f>SmtRes!AE58</f>
        <v>104.99</v>
      </c>
      <c r="L48">
        <f>SmtRes!DB58</f>
        <v>22.05</v>
      </c>
      <c r="M48">
        <f>ROUND(ROUND(L48*Source!I80, 6)*1, 2)</f>
        <v>17.2</v>
      </c>
      <c r="N48">
        <f>SmtRes!AA58</f>
        <v>104.99</v>
      </c>
      <c r="O48">
        <f>ROUND(ROUND(L48*Source!I80, 6)*SmtRes!DA58, 2)</f>
        <v>17.2</v>
      </c>
      <c r="P48">
        <f>SmtRes!AG58</f>
        <v>0</v>
      </c>
      <c r="Q48">
        <f>SmtRes!DC58</f>
        <v>0</v>
      </c>
      <c r="R48">
        <f>ROUND(ROUND(Q48*Source!I80, 6)*1, 2)</f>
        <v>0</v>
      </c>
      <c r="S48">
        <f>SmtRes!AC58</f>
        <v>0</v>
      </c>
      <c r="T48">
        <f>ROUND(ROUND(Q48*Source!I80, 6)*SmtRes!AK58, 2)</f>
        <v>0</v>
      </c>
      <c r="U48">
        <f>SmtRes!X58</f>
        <v>2069056849</v>
      </c>
      <c r="V48">
        <v>464578271</v>
      </c>
      <c r="W48">
        <v>464578271</v>
      </c>
    </row>
    <row r="49" spans="1:23">
      <c r="A49">
        <f>Source!A80</f>
        <v>17</v>
      </c>
      <c r="C49">
        <v>2</v>
      </c>
      <c r="D49">
        <v>0</v>
      </c>
      <c r="E49">
        <f>SmtRes!AV57</f>
        <v>0</v>
      </c>
      <c r="F49" t="str">
        <f>SmtRes!I57</f>
        <v>9999990007</v>
      </c>
      <c r="G49" t="str">
        <f>SmtRes!K57</f>
        <v>Стоимость прочих машин (ЭСН)</v>
      </c>
      <c r="H49" t="str">
        <f>SmtRes!O57</f>
        <v>руб.</v>
      </c>
      <c r="I49">
        <f>SmtRes!Y57*Source!I80</f>
        <v>7.8000000000000005E-3</v>
      </c>
      <c r="J49">
        <f>SmtRes!AO57</f>
        <v>1</v>
      </c>
      <c r="K49">
        <f>SmtRes!AF57</f>
        <v>1</v>
      </c>
      <c r="L49">
        <f>SmtRes!DB57</f>
        <v>0.01</v>
      </c>
      <c r="M49">
        <f>ROUND(ROUND(L49*Source!I80, 6)*1, 2)</f>
        <v>0.01</v>
      </c>
      <c r="N49">
        <f>SmtRes!AB57</f>
        <v>1</v>
      </c>
      <c r="O49">
        <f>ROUND(ROUND(L49*Source!I80, 6)*SmtRes!DA57, 2)</f>
        <v>0.01</v>
      </c>
      <c r="P49">
        <f>SmtRes!AG57</f>
        <v>0</v>
      </c>
      <c r="Q49">
        <f>SmtRes!DC57</f>
        <v>0</v>
      </c>
      <c r="R49">
        <f>ROUND(ROUND(Q49*Source!I80, 6)*1, 2)</f>
        <v>0</v>
      </c>
      <c r="S49">
        <f>SmtRes!AC57</f>
        <v>0</v>
      </c>
      <c r="T49">
        <f>ROUND(ROUND(Q49*Source!I80, 6)*SmtRes!AK57, 2)</f>
        <v>0</v>
      </c>
      <c r="U49">
        <f>SmtRes!X57</f>
        <v>-1180195794</v>
      </c>
      <c r="V49">
        <v>54769220</v>
      </c>
      <c r="W49">
        <v>54769220</v>
      </c>
    </row>
    <row r="50" spans="1:23">
      <c r="A50">
        <f>Source!A80</f>
        <v>17</v>
      </c>
      <c r="C50">
        <v>2</v>
      </c>
      <c r="D50">
        <v>0</v>
      </c>
      <c r="E50">
        <f>SmtRes!AV56</f>
        <v>0</v>
      </c>
      <c r="F50" t="str">
        <f>SmtRes!I56</f>
        <v>2.1-3-38</v>
      </c>
      <c r="G50" t="str">
        <f>SmtRes!K56</f>
        <v>Краны на автомобильном ходу, грузоподъемность до 16 т</v>
      </c>
      <c r="H50" t="str">
        <f>SmtRes!O56</f>
        <v>маш.-ч.</v>
      </c>
      <c r="I50">
        <f>SmtRes!Y56*Source!I80</f>
        <v>0.63180000000000003</v>
      </c>
      <c r="J50">
        <f>SmtRes!AO56</f>
        <v>1</v>
      </c>
      <c r="K50">
        <f>SmtRes!AF56</f>
        <v>190.93</v>
      </c>
      <c r="L50">
        <f>SmtRes!DB56</f>
        <v>154.65</v>
      </c>
      <c r="M50">
        <f>ROUND(ROUND(L50*Source!I80, 6)*1, 2)</f>
        <v>120.63</v>
      </c>
      <c r="N50">
        <f>SmtRes!AB56</f>
        <v>190.93</v>
      </c>
      <c r="O50">
        <f>ROUND(ROUND(L50*Source!I80, 6)*SmtRes!DA56, 2)</f>
        <v>120.63</v>
      </c>
      <c r="P50">
        <f>SmtRes!AG56</f>
        <v>18.149999999999999</v>
      </c>
      <c r="Q50">
        <f>SmtRes!DC56</f>
        <v>14.7</v>
      </c>
      <c r="R50">
        <f>ROUND(ROUND(Q50*Source!I80, 6)*1, 2)</f>
        <v>11.47</v>
      </c>
      <c r="S50">
        <f>SmtRes!AC56</f>
        <v>18.149999999999999</v>
      </c>
      <c r="T50">
        <f>ROUND(ROUND(Q50*Source!I80, 6)*SmtRes!AK56, 2)</f>
        <v>11.47</v>
      </c>
      <c r="U50">
        <f>SmtRes!X56</f>
        <v>-266174272</v>
      </c>
      <c r="V50">
        <v>360917738</v>
      </c>
      <c r="W50">
        <v>360917738</v>
      </c>
    </row>
    <row r="51" spans="1:23">
      <c r="A51">
        <f>Source!A80</f>
        <v>17</v>
      </c>
      <c r="C51">
        <v>2</v>
      </c>
      <c r="D51">
        <v>0</v>
      </c>
      <c r="E51">
        <f>SmtRes!AV55</f>
        <v>0</v>
      </c>
      <c r="F51" t="str">
        <f>SmtRes!I55</f>
        <v>2.1-30-27</v>
      </c>
      <c r="G51" t="str">
        <f>SmtRes!K55</f>
        <v>Пилы дисковые электрические для резки пиломатериалов</v>
      </c>
      <c r="H51" t="str">
        <f>SmtRes!O55</f>
        <v>маш.-ч.</v>
      </c>
      <c r="I51">
        <f>SmtRes!Y55*Source!I80</f>
        <v>1.3572</v>
      </c>
      <c r="J51">
        <f>SmtRes!AO55</f>
        <v>1</v>
      </c>
      <c r="K51">
        <f>SmtRes!AF55</f>
        <v>0.81</v>
      </c>
      <c r="L51">
        <f>SmtRes!DB55</f>
        <v>1.41</v>
      </c>
      <c r="M51">
        <f>ROUND(ROUND(L51*Source!I80, 6)*1, 2)</f>
        <v>1.1000000000000001</v>
      </c>
      <c r="N51">
        <f>SmtRes!AB55</f>
        <v>0.81</v>
      </c>
      <c r="O51">
        <f>ROUND(ROUND(L51*Source!I80, 6)*SmtRes!DA55, 2)</f>
        <v>1.1000000000000001</v>
      </c>
      <c r="P51">
        <f>SmtRes!AG55</f>
        <v>0.03</v>
      </c>
      <c r="Q51">
        <f>SmtRes!DC55</f>
        <v>0.05</v>
      </c>
      <c r="R51">
        <f>ROUND(ROUND(Q51*Source!I80, 6)*1, 2)</f>
        <v>0.04</v>
      </c>
      <c r="S51">
        <f>SmtRes!AC55</f>
        <v>0.03</v>
      </c>
      <c r="T51">
        <f>ROUND(ROUND(Q51*Source!I80, 6)*SmtRes!AK55, 2)</f>
        <v>0.04</v>
      </c>
      <c r="U51">
        <f>SmtRes!X55</f>
        <v>2073069139</v>
      </c>
      <c r="V51">
        <v>-1709388950</v>
      </c>
      <c r="W51">
        <v>-1709388950</v>
      </c>
    </row>
    <row r="52" spans="1:23">
      <c r="A52">
        <f>Source!A80</f>
        <v>17</v>
      </c>
      <c r="C52">
        <v>2</v>
      </c>
      <c r="D52">
        <v>0</v>
      </c>
      <c r="E52">
        <f>SmtRes!AV54</f>
        <v>0</v>
      </c>
      <c r="F52" t="str">
        <f>SmtRes!I54</f>
        <v>2.1-18-7</v>
      </c>
      <c r="G52" t="str">
        <f>SmtRes!K54</f>
        <v>Автомобили грузовые бортовые, грузоподъемность до 5 т</v>
      </c>
      <c r="H52" t="str">
        <f>SmtRes!O54</f>
        <v>маш.-ч.</v>
      </c>
      <c r="I52">
        <f>SmtRes!Y54*Source!I80</f>
        <v>0.63180000000000003</v>
      </c>
      <c r="J52">
        <f>SmtRes!AO54</f>
        <v>1</v>
      </c>
      <c r="K52">
        <f>SmtRes!AF54</f>
        <v>76.81</v>
      </c>
      <c r="L52">
        <f>SmtRes!DB54</f>
        <v>62.22</v>
      </c>
      <c r="M52">
        <f>ROUND(ROUND(L52*Source!I80, 6)*1, 2)</f>
        <v>48.53</v>
      </c>
      <c r="N52">
        <f>SmtRes!AB54</f>
        <v>76.81</v>
      </c>
      <c r="O52">
        <f>ROUND(ROUND(L52*Source!I80, 6)*SmtRes!DA54, 2)</f>
        <v>48.53</v>
      </c>
      <c r="P52">
        <f>SmtRes!AG54</f>
        <v>14.36</v>
      </c>
      <c r="Q52">
        <f>SmtRes!DC54</f>
        <v>11.63</v>
      </c>
      <c r="R52">
        <f>ROUND(ROUND(Q52*Source!I80, 6)*1, 2)</f>
        <v>9.07</v>
      </c>
      <c r="S52">
        <f>SmtRes!AC54</f>
        <v>14.36</v>
      </c>
      <c r="T52">
        <f>ROUND(ROUND(Q52*Source!I80, 6)*SmtRes!AK54, 2)</f>
        <v>9.07</v>
      </c>
      <c r="U52">
        <f>SmtRes!X54</f>
        <v>-628430174</v>
      </c>
      <c r="V52">
        <v>-1989157500</v>
      </c>
      <c r="W52">
        <v>-1989157500</v>
      </c>
    </row>
    <row r="53" spans="1:23">
      <c r="A53">
        <f>Source!A80</f>
        <v>17</v>
      </c>
      <c r="C53">
        <v>2</v>
      </c>
      <c r="D53">
        <v>0</v>
      </c>
      <c r="E53">
        <f>SmtRes!AV53</f>
        <v>0</v>
      </c>
      <c r="F53" t="str">
        <f>SmtRes!I53</f>
        <v>2.1-17-82</v>
      </c>
      <c r="G53" t="str">
        <f>SmtRes!K53</f>
        <v>Виброплиты для уплотнения песка, гравия и бетона</v>
      </c>
      <c r="H53" t="str">
        <f>SmtRes!O53</f>
        <v>маш.-ч.</v>
      </c>
      <c r="I53">
        <f>SmtRes!Y53*Source!I80</f>
        <v>2.5583999999999998</v>
      </c>
      <c r="J53">
        <f>SmtRes!AO53</f>
        <v>1</v>
      </c>
      <c r="K53">
        <f>SmtRes!AF53</f>
        <v>17.420000000000002</v>
      </c>
      <c r="L53">
        <f>SmtRes!DB53</f>
        <v>57.14</v>
      </c>
      <c r="M53">
        <f>ROUND(ROUND(L53*Source!I80, 6)*1, 2)</f>
        <v>44.57</v>
      </c>
      <c r="N53">
        <f>SmtRes!AB53</f>
        <v>17.420000000000002</v>
      </c>
      <c r="O53">
        <f>ROUND(ROUND(L53*Source!I80, 6)*SmtRes!DA53, 2)</f>
        <v>44.57</v>
      </c>
      <c r="P53">
        <f>SmtRes!AG53</f>
        <v>0.15</v>
      </c>
      <c r="Q53">
        <f>SmtRes!DC53</f>
        <v>0.49</v>
      </c>
      <c r="R53">
        <f>ROUND(ROUND(Q53*Source!I80, 6)*1, 2)</f>
        <v>0.38</v>
      </c>
      <c r="S53">
        <f>SmtRes!AC53</f>
        <v>0.15</v>
      </c>
      <c r="T53">
        <f>ROUND(ROUND(Q53*Source!I80, 6)*SmtRes!AK53, 2)</f>
        <v>0.38</v>
      </c>
      <c r="U53">
        <f>SmtRes!X53</f>
        <v>-1049359691</v>
      </c>
      <c r="V53">
        <v>839392652</v>
      </c>
      <c r="W53">
        <v>839392652</v>
      </c>
    </row>
    <row r="54" spans="1:23">
      <c r="A54">
        <f>Source!A81</f>
        <v>18</v>
      </c>
      <c r="B54">
        <v>81</v>
      </c>
      <c r="C54">
        <v>3</v>
      </c>
      <c r="D54">
        <f>Source!BI81</f>
        <v>1</v>
      </c>
      <c r="E54">
        <f>Source!FS81</f>
        <v>0</v>
      </c>
      <c r="F54" t="str">
        <f>Source!F81</f>
        <v>1.7-3-75</v>
      </c>
      <c r="G54" t="str">
        <f>Source!G81</f>
        <v>Диск отрезной с алмазным покрытием, диаметр 230 мм, высота сегмента 7 мм</v>
      </c>
      <c r="H54" t="str">
        <f>Source!H81</f>
        <v>шт.</v>
      </c>
      <c r="I54">
        <f>Source!I81</f>
        <v>1.17</v>
      </c>
      <c r="J54">
        <v>1</v>
      </c>
      <c r="K54">
        <f>Source!AC81</f>
        <v>437.82</v>
      </c>
      <c r="M54">
        <f>ROUND(K54*I54, 2)</f>
        <v>512.25</v>
      </c>
      <c r="N54">
        <f>Source!AC81*IF(Source!BC81&lt;&gt; 0, Source!BC81, 1)</f>
        <v>792.45420000000001</v>
      </c>
      <c r="O54">
        <f>ROUND(N54*I54, 2)</f>
        <v>927.17</v>
      </c>
      <c r="P54">
        <f>Source!AE81</f>
        <v>0</v>
      </c>
      <c r="R54">
        <f>ROUND(P54*I54, 2)</f>
        <v>0</v>
      </c>
      <c r="S54">
        <f>Source!AE81*IF(Source!BS81&lt;&gt; 0, Source!BS81, 1)</f>
        <v>0</v>
      </c>
      <c r="T54">
        <f>ROUND(S54*I54, 2)</f>
        <v>0</v>
      </c>
      <c r="U54">
        <f>Source!GF81</f>
        <v>-1816805806</v>
      </c>
      <c r="V54">
        <v>793912692</v>
      </c>
      <c r="W54">
        <v>131635020</v>
      </c>
    </row>
    <row r="55" spans="1:23">
      <c r="A55">
        <f>Source!A82</f>
        <v>18</v>
      </c>
      <c r="B55">
        <v>82</v>
      </c>
      <c r="C55">
        <v>3</v>
      </c>
      <c r="D55">
        <f>Source!BI82</f>
        <v>1</v>
      </c>
      <c r="E55">
        <f>Source!FS82</f>
        <v>0</v>
      </c>
      <c r="F55" t="str">
        <f>Source!F82</f>
        <v>1.5-3-394</v>
      </c>
      <c r="G55" t="str">
        <f>Source!G82</f>
        <v>Плиты бетонные тротуарные, толщина 70 мм, разного цвета</v>
      </c>
      <c r="H55" t="str">
        <f>Source!H82</f>
        <v>м2</v>
      </c>
      <c r="I55">
        <f>Source!I82</f>
        <v>79.210560000000001</v>
      </c>
      <c r="J55">
        <v>1</v>
      </c>
      <c r="K55">
        <f>Source!AC82</f>
        <v>157.65</v>
      </c>
      <c r="M55">
        <f>ROUND(K55*I55, 2)</f>
        <v>12487.54</v>
      </c>
      <c r="N55">
        <f>Source!AC82*IF(Source!BC82&lt;&gt; 0, Source!BC82, 1)</f>
        <v>845.00400000000013</v>
      </c>
      <c r="O55">
        <f>ROUND(N55*I55, 2)</f>
        <v>66933.240000000005</v>
      </c>
      <c r="P55">
        <f>Source!AE82</f>
        <v>0</v>
      </c>
      <c r="R55">
        <f>ROUND(P55*I55, 2)</f>
        <v>0</v>
      </c>
      <c r="S55">
        <f>Source!AE82*IF(Source!BS82&lt;&gt; 0, Source!BS82, 1)</f>
        <v>0</v>
      </c>
      <c r="T55">
        <f>ROUND(S55*I55, 2)</f>
        <v>0</v>
      </c>
      <c r="U55">
        <f>Source!GF82</f>
        <v>-1725340503</v>
      </c>
      <c r="V55">
        <v>1101414705</v>
      </c>
      <c r="W55">
        <v>-2625374</v>
      </c>
    </row>
    <row r="56" spans="1:23">
      <c r="A56">
        <f>Source!A83</f>
        <v>18</v>
      </c>
      <c r="B56">
        <v>83</v>
      </c>
      <c r="C56">
        <v>3</v>
      </c>
      <c r="D56">
        <f>Source!BI83</f>
        <v>1</v>
      </c>
      <c r="E56">
        <f>Source!FS83</f>
        <v>0</v>
      </c>
      <c r="F56" t="str">
        <f>Source!F83</f>
        <v>1.3-2-18</v>
      </c>
      <c r="G56" t="str">
        <f>Source!G83</f>
        <v>Смеси сухие монтажно-кладочные цементно-песчаные, В7,5 (М100), F50, крупность заполнителя не более 3,5 мм</v>
      </c>
      <c r="H56" t="str">
        <f>Source!H83</f>
        <v>т</v>
      </c>
      <c r="I56">
        <f>Source!I83</f>
        <v>1.7550000000000001</v>
      </c>
      <c r="J56">
        <v>1</v>
      </c>
      <c r="K56">
        <f>Source!AC83</f>
        <v>438.37</v>
      </c>
      <c r="M56">
        <f>ROUND(K56*I56, 2)</f>
        <v>769.34</v>
      </c>
      <c r="N56">
        <f>Source!AC83*IF(Source!BC83&lt;&gt; 0, Source!BC83, 1)</f>
        <v>3195.7173000000003</v>
      </c>
      <c r="O56">
        <f>ROUND(N56*I56, 2)</f>
        <v>5608.48</v>
      </c>
      <c r="P56">
        <f>Source!AE83</f>
        <v>0</v>
      </c>
      <c r="R56">
        <f>ROUND(P56*I56, 2)</f>
        <v>0</v>
      </c>
      <c r="S56">
        <f>Source!AE83*IF(Source!BS83&lt;&gt; 0, Source!BS83, 1)</f>
        <v>0</v>
      </c>
      <c r="T56">
        <f>ROUND(S56*I56, 2)</f>
        <v>0</v>
      </c>
      <c r="U56">
        <f>Source!GF83</f>
        <v>2029920186</v>
      </c>
      <c r="V56">
        <v>587220639</v>
      </c>
      <c r="W56">
        <v>-485903622</v>
      </c>
    </row>
    <row r="57" spans="1:23">
      <c r="A57">
        <f>Source!A115</f>
        <v>4</v>
      </c>
      <c r="B57">
        <v>115</v>
      </c>
      <c r="G57" t="str">
        <f>Source!G115</f>
        <v>28. Камень бортовой садовый</v>
      </c>
    </row>
    <row r="58" spans="1:23">
      <c r="A58">
        <f>Source!A119</f>
        <v>17</v>
      </c>
      <c r="C58">
        <v>3</v>
      </c>
      <c r="D58">
        <v>0</v>
      </c>
      <c r="E58">
        <f>SmtRes!AV68</f>
        <v>0</v>
      </c>
      <c r="F58" t="str">
        <f>SmtRes!I68</f>
        <v>1.1-1-118</v>
      </c>
      <c r="G58" t="str">
        <f>SmtRes!K68</f>
        <v>Вода</v>
      </c>
      <c r="H58" t="str">
        <f>SmtRes!O68</f>
        <v>м3</v>
      </c>
      <c r="I58">
        <f>SmtRes!Y68*Source!I119</f>
        <v>5.2999999999999999E-2</v>
      </c>
      <c r="J58">
        <f>SmtRes!AO68</f>
        <v>1</v>
      </c>
      <c r="K58">
        <f>SmtRes!AE68</f>
        <v>7.07</v>
      </c>
      <c r="L58">
        <f>SmtRes!DB68</f>
        <v>35.35</v>
      </c>
      <c r="M58">
        <f>ROUND(ROUND(L58*Source!I119, 6)*1, 2)</f>
        <v>0.37</v>
      </c>
      <c r="N58">
        <f>SmtRes!AA68</f>
        <v>7.08</v>
      </c>
      <c r="O58">
        <f>ROUND(ROUND(L58*Source!I119, 6)*SmtRes!DA68, 2)</f>
        <v>0.37</v>
      </c>
      <c r="P58">
        <f>SmtRes!AG68</f>
        <v>0</v>
      </c>
      <c r="Q58">
        <f>SmtRes!DC68</f>
        <v>0</v>
      </c>
      <c r="R58">
        <f>ROUND(ROUND(Q58*Source!I119, 6)*1, 2)</f>
        <v>0</v>
      </c>
      <c r="S58">
        <f>SmtRes!AC68</f>
        <v>0</v>
      </c>
      <c r="T58">
        <f>ROUND(ROUND(Q58*Source!I119, 6)*SmtRes!AK68, 2)</f>
        <v>0</v>
      </c>
      <c r="U58">
        <f>SmtRes!X68</f>
        <v>-862991314</v>
      </c>
      <c r="V58">
        <v>209219300</v>
      </c>
      <c r="W58">
        <v>-1664650379</v>
      </c>
    </row>
    <row r="59" spans="1:23">
      <c r="A59">
        <f>Source!A119</f>
        <v>17</v>
      </c>
      <c r="C59">
        <v>2</v>
      </c>
      <c r="D59">
        <v>0</v>
      </c>
      <c r="E59">
        <f>SmtRes!AV67</f>
        <v>0</v>
      </c>
      <c r="F59" t="str">
        <f>SmtRes!I67</f>
        <v>2.1-5-7</v>
      </c>
      <c r="G59" t="str">
        <f>SmtRes!K67</f>
        <v>Катки дорожные самоходные на пневмоколесном ходу, масса до 16 т</v>
      </c>
      <c r="H59" t="str">
        <f>SmtRes!O67</f>
        <v>маш.-ч.</v>
      </c>
      <c r="I59">
        <f>SmtRes!Y67*Source!I119</f>
        <v>5.5120000000000004E-3</v>
      </c>
      <c r="J59">
        <f>SmtRes!AO67</f>
        <v>1</v>
      </c>
      <c r="K59">
        <f>SmtRes!AF67</f>
        <v>178.02</v>
      </c>
      <c r="L59">
        <f>SmtRes!DB67</f>
        <v>92.57</v>
      </c>
      <c r="M59">
        <f>ROUND(ROUND(L59*Source!I119, 6)*1, 2)</f>
        <v>0.98</v>
      </c>
      <c r="N59">
        <f>SmtRes!AB67</f>
        <v>186.39</v>
      </c>
      <c r="O59">
        <f>ROUND(ROUND(L59*Source!I119, 6)*SmtRes!DA67, 2)</f>
        <v>0.98</v>
      </c>
      <c r="P59">
        <f>SmtRes!AG67</f>
        <v>23.5</v>
      </c>
      <c r="Q59">
        <f>SmtRes!DC67</f>
        <v>12.22</v>
      </c>
      <c r="R59">
        <f>ROUND(ROUND(Q59*Source!I119, 6)*1, 2)</f>
        <v>0.13</v>
      </c>
      <c r="S59">
        <f>SmtRes!AC67</f>
        <v>24.6</v>
      </c>
      <c r="T59">
        <f>ROUND(ROUND(Q59*Source!I119, 6)*SmtRes!AK67, 2)</f>
        <v>0.13</v>
      </c>
      <c r="U59">
        <f>SmtRes!X67</f>
        <v>2023875219</v>
      </c>
      <c r="V59">
        <v>1989037200</v>
      </c>
      <c r="W59">
        <v>-1459739079</v>
      </c>
    </row>
    <row r="60" spans="1:23">
      <c r="A60">
        <f>Source!A119</f>
        <v>17</v>
      </c>
      <c r="C60">
        <v>2</v>
      </c>
      <c r="D60">
        <v>0</v>
      </c>
      <c r="E60">
        <f>SmtRes!AV66</f>
        <v>0</v>
      </c>
      <c r="F60" t="str">
        <f>SmtRes!I66</f>
        <v>2.1-5-48</v>
      </c>
      <c r="G60" t="str">
        <f>SmtRes!K66</f>
        <v>Автогрейдеры, мощность 99-147 кВт (130-200 л.с.)</v>
      </c>
      <c r="H60" t="str">
        <f>SmtRes!O66</f>
        <v>маш.-ч.</v>
      </c>
      <c r="I60">
        <f>SmtRes!Y66*Source!I119</f>
        <v>1.643E-2</v>
      </c>
      <c r="J60">
        <f>SmtRes!AO66</f>
        <v>1</v>
      </c>
      <c r="K60">
        <f>SmtRes!AF66</f>
        <v>125.13</v>
      </c>
      <c r="L60">
        <f>SmtRes!DB66</f>
        <v>193.95</v>
      </c>
      <c r="M60">
        <f>ROUND(ROUND(L60*Source!I119, 6)*1, 2)</f>
        <v>2.06</v>
      </c>
      <c r="N60">
        <f>SmtRes!AB66</f>
        <v>131.01</v>
      </c>
      <c r="O60">
        <f>ROUND(ROUND(L60*Source!I119, 6)*SmtRes!DA66, 2)</f>
        <v>2.06</v>
      </c>
      <c r="P60">
        <f>SmtRes!AG66</f>
        <v>24.74</v>
      </c>
      <c r="Q60">
        <f>SmtRes!DC66</f>
        <v>38.35</v>
      </c>
      <c r="R60">
        <f>ROUND(ROUND(Q60*Source!I119, 6)*1, 2)</f>
        <v>0.41</v>
      </c>
      <c r="S60">
        <f>SmtRes!AC66</f>
        <v>25.9</v>
      </c>
      <c r="T60">
        <f>ROUND(ROUND(Q60*Source!I119, 6)*SmtRes!AK66, 2)</f>
        <v>0.41</v>
      </c>
      <c r="U60">
        <f>SmtRes!X66</f>
        <v>856318566</v>
      </c>
      <c r="V60">
        <v>-1785549983</v>
      </c>
      <c r="W60">
        <v>-796572181</v>
      </c>
    </row>
    <row r="61" spans="1:23">
      <c r="A61">
        <f>Source!A119</f>
        <v>17</v>
      </c>
      <c r="C61">
        <v>2</v>
      </c>
      <c r="D61">
        <v>0</v>
      </c>
      <c r="E61">
        <f>SmtRes!AV65</f>
        <v>0</v>
      </c>
      <c r="F61" t="str">
        <f>SmtRes!I65</f>
        <v>2.1-5-18</v>
      </c>
      <c r="G61" t="str">
        <f>SmtRes!K65</f>
        <v>Поливомоечные машины, емкость цистерны более 5000 л</v>
      </c>
      <c r="H61" t="str">
        <f>SmtRes!O65</f>
        <v>маш.-ч.</v>
      </c>
      <c r="I61">
        <f>SmtRes!Y65*Source!I119</f>
        <v>6.8900000000000003E-3</v>
      </c>
      <c r="J61">
        <f>SmtRes!AO65</f>
        <v>1</v>
      </c>
      <c r="K61">
        <f>SmtRes!AF65</f>
        <v>140.58000000000001</v>
      </c>
      <c r="L61">
        <f>SmtRes!DB65</f>
        <v>91.38</v>
      </c>
      <c r="M61">
        <f>ROUND(ROUND(L61*Source!I119, 6)*1, 2)</f>
        <v>0.97</v>
      </c>
      <c r="N61">
        <f>SmtRes!AB65</f>
        <v>147.19</v>
      </c>
      <c r="O61">
        <f>ROUND(ROUND(L61*Source!I119, 6)*SmtRes!DA65, 2)</f>
        <v>0.97</v>
      </c>
      <c r="P61">
        <f>SmtRes!AG65</f>
        <v>28.61</v>
      </c>
      <c r="Q61">
        <f>SmtRes!DC65</f>
        <v>18.600000000000001</v>
      </c>
      <c r="R61">
        <f>ROUND(ROUND(Q61*Source!I119, 6)*1, 2)</f>
        <v>0.2</v>
      </c>
      <c r="S61">
        <f>SmtRes!AC65</f>
        <v>29.95</v>
      </c>
      <c r="T61">
        <f>ROUND(ROUND(Q61*Source!I119, 6)*SmtRes!AK65, 2)</f>
        <v>0.2</v>
      </c>
      <c r="U61">
        <f>SmtRes!X65</f>
        <v>378346098</v>
      </c>
      <c r="V61">
        <v>-656460772</v>
      </c>
      <c r="W61">
        <v>1449392439</v>
      </c>
    </row>
    <row r="62" spans="1:23">
      <c r="A62">
        <f>Source!A119</f>
        <v>17</v>
      </c>
      <c r="C62">
        <v>2</v>
      </c>
      <c r="D62">
        <v>0</v>
      </c>
      <c r="E62">
        <f>SmtRes!AV64</f>
        <v>0</v>
      </c>
      <c r="F62" t="str">
        <f>SmtRes!I64</f>
        <v>2.1-5-15</v>
      </c>
      <c r="G62" t="str">
        <f>SmtRes!K64</f>
        <v>Катки прицепные пневмоколесные, масса до 50 т</v>
      </c>
      <c r="H62" t="str">
        <f>SmtRes!O64</f>
        <v>маш.-ч.</v>
      </c>
      <c r="I62">
        <f>SmtRes!Y64*Source!I119</f>
        <v>1.7596000000000001E-2</v>
      </c>
      <c r="J62">
        <f>SmtRes!AO64</f>
        <v>1</v>
      </c>
      <c r="K62">
        <f>SmtRes!AF64</f>
        <v>62.97</v>
      </c>
      <c r="L62">
        <f>SmtRes!DB64</f>
        <v>104.53</v>
      </c>
      <c r="M62">
        <f>ROUND(ROUND(L62*Source!I119, 6)*1, 2)</f>
        <v>1.1100000000000001</v>
      </c>
      <c r="N62">
        <f>SmtRes!AB64</f>
        <v>65.930000000000007</v>
      </c>
      <c r="O62">
        <f>ROUND(ROUND(L62*Source!I119, 6)*SmtRes!DA64, 2)</f>
        <v>1.1100000000000001</v>
      </c>
      <c r="P62">
        <f>SmtRes!AG64</f>
        <v>6.64</v>
      </c>
      <c r="Q62">
        <f>SmtRes!DC64</f>
        <v>11.02</v>
      </c>
      <c r="R62">
        <f>ROUND(ROUND(Q62*Source!I119, 6)*1, 2)</f>
        <v>0.12</v>
      </c>
      <c r="S62">
        <f>SmtRes!AC64</f>
        <v>6.95</v>
      </c>
      <c r="T62">
        <f>ROUND(ROUND(Q62*Source!I119, 6)*SmtRes!AK64, 2)</f>
        <v>0.12</v>
      </c>
      <c r="U62">
        <f>SmtRes!X64</f>
        <v>142191915</v>
      </c>
      <c r="V62">
        <v>100101108</v>
      </c>
      <c r="W62">
        <v>-1622304940</v>
      </c>
    </row>
    <row r="63" spans="1:23">
      <c r="A63">
        <f>Source!A119</f>
        <v>17</v>
      </c>
      <c r="C63">
        <v>2</v>
      </c>
      <c r="D63">
        <v>0</v>
      </c>
      <c r="E63">
        <f>SmtRes!AV63</f>
        <v>0</v>
      </c>
      <c r="F63" t="str">
        <f>SmtRes!I63</f>
        <v>2.1-2-1</v>
      </c>
      <c r="G63" t="str">
        <f>SmtRes!K63</f>
        <v>Тракторы на гусеничном ходу, мощность до 60 кВт (81 л.с.)</v>
      </c>
      <c r="H63" t="str">
        <f>SmtRes!O63</f>
        <v>маш.-ч.</v>
      </c>
      <c r="I63">
        <f>SmtRes!Y63*Source!I119</f>
        <v>1.7596000000000001E-2</v>
      </c>
      <c r="J63">
        <f>SmtRes!AO63</f>
        <v>1</v>
      </c>
      <c r="K63">
        <f>SmtRes!AF63</f>
        <v>116.89</v>
      </c>
      <c r="L63">
        <f>SmtRes!DB63</f>
        <v>194.04</v>
      </c>
      <c r="M63">
        <f>ROUND(ROUND(L63*Source!I119, 6)*1, 2)</f>
        <v>2.06</v>
      </c>
      <c r="N63">
        <f>SmtRes!AB63</f>
        <v>122.38</v>
      </c>
      <c r="O63">
        <f>ROUND(ROUND(L63*Source!I119, 6)*SmtRes!DA63, 2)</f>
        <v>2.06</v>
      </c>
      <c r="P63">
        <f>SmtRes!AG63</f>
        <v>23.41</v>
      </c>
      <c r="Q63">
        <f>SmtRes!DC63</f>
        <v>38.86</v>
      </c>
      <c r="R63">
        <f>ROUND(ROUND(Q63*Source!I119, 6)*1, 2)</f>
        <v>0.41</v>
      </c>
      <c r="S63">
        <f>SmtRes!AC63</f>
        <v>24.51</v>
      </c>
      <c r="T63">
        <f>ROUND(ROUND(Q63*Source!I119, 6)*SmtRes!AK63, 2)</f>
        <v>0.41</v>
      </c>
      <c r="U63">
        <f>SmtRes!X63</f>
        <v>1928543733</v>
      </c>
      <c r="V63">
        <v>482636110</v>
      </c>
      <c r="W63">
        <v>1089828244</v>
      </c>
    </row>
    <row r="64" spans="1:23">
      <c r="A64">
        <f>Source!A120</f>
        <v>18</v>
      </c>
      <c r="B64">
        <v>120</v>
      </c>
      <c r="C64">
        <v>3</v>
      </c>
      <c r="D64">
        <f>Source!BI120</f>
        <v>1</v>
      </c>
      <c r="E64">
        <f>Source!FS120</f>
        <v>0</v>
      </c>
      <c r="F64" t="str">
        <f>Source!F120</f>
        <v>1.1-1-766</v>
      </c>
      <c r="G64" t="str">
        <f>Source!G120</f>
        <v>Песок для строительных работ, рядовой</v>
      </c>
      <c r="H64" t="str">
        <f>Source!H120</f>
        <v>м3</v>
      </c>
      <c r="I64">
        <f>Source!I120</f>
        <v>1.1659999999999999</v>
      </c>
      <c r="J64">
        <v>1</v>
      </c>
      <c r="K64">
        <f>Source!AC120</f>
        <v>104.99</v>
      </c>
      <c r="M64">
        <f>ROUND(K64*I64, 2)</f>
        <v>122.42</v>
      </c>
      <c r="N64">
        <f>Source!AC120*IF(Source!BC120&lt;&gt; 0, Source!BC120, 1)</f>
        <v>552.24739999999997</v>
      </c>
      <c r="O64">
        <f>ROUND(N64*I64, 2)</f>
        <v>643.91999999999996</v>
      </c>
      <c r="P64">
        <f>Source!AE120</f>
        <v>0</v>
      </c>
      <c r="R64">
        <f>ROUND(P64*I64, 2)</f>
        <v>0</v>
      </c>
      <c r="S64">
        <f>Source!AE120*IF(Source!BS120&lt;&gt; 0, Source!BS120, 1)</f>
        <v>0</v>
      </c>
      <c r="T64">
        <f>ROUND(S64*I64, 2)</f>
        <v>0</v>
      </c>
      <c r="U64">
        <f>Source!GF120</f>
        <v>2069056849</v>
      </c>
      <c r="V64">
        <v>464578271</v>
      </c>
      <c r="W64">
        <v>1615926593</v>
      </c>
    </row>
    <row r="65" spans="1:23">
      <c r="A65">
        <f>Source!A121</f>
        <v>17</v>
      </c>
      <c r="C65">
        <v>3</v>
      </c>
      <c r="D65">
        <v>0</v>
      </c>
      <c r="E65">
        <f>SmtRes!AV77</f>
        <v>0</v>
      </c>
      <c r="F65" t="str">
        <f>SmtRes!I77</f>
        <v>1.3-2-5</v>
      </c>
      <c r="G65" t="str">
        <f>SmtRes!K77</f>
        <v>Растворы цементные, марка 100</v>
      </c>
      <c r="H65" t="str">
        <f>SmtRes!O77</f>
        <v>м3</v>
      </c>
      <c r="I65">
        <f>SmtRes!Y77*Source!I121</f>
        <v>1.06E-2</v>
      </c>
      <c r="J65">
        <f>SmtRes!AO77</f>
        <v>1</v>
      </c>
      <c r="K65">
        <f>SmtRes!AE77</f>
        <v>451.14</v>
      </c>
      <c r="L65">
        <f>SmtRes!DB77</f>
        <v>9.02</v>
      </c>
      <c r="M65">
        <f>ROUND(ROUND(L65*Source!I121, 6)*1, 2)</f>
        <v>4.78</v>
      </c>
      <c r="N65">
        <f>SmtRes!AA77</f>
        <v>464.67</v>
      </c>
      <c r="O65">
        <f>ROUND(ROUND(L65*Source!I121, 6)*SmtRes!DA77, 2)</f>
        <v>4.78</v>
      </c>
      <c r="P65">
        <f>SmtRes!AG77</f>
        <v>0</v>
      </c>
      <c r="Q65">
        <f>SmtRes!DC77</f>
        <v>0</v>
      </c>
      <c r="R65">
        <f>ROUND(ROUND(Q65*Source!I121, 6)*1, 2)</f>
        <v>0</v>
      </c>
      <c r="S65">
        <f>SmtRes!AC77</f>
        <v>0</v>
      </c>
      <c r="T65">
        <f>ROUND(ROUND(Q65*Source!I121, 6)*SmtRes!AK77, 2)</f>
        <v>0</v>
      </c>
      <c r="U65">
        <f>SmtRes!X77</f>
        <v>-718781615</v>
      </c>
      <c r="V65">
        <v>-1804029654</v>
      </c>
      <c r="W65">
        <v>844037301</v>
      </c>
    </row>
    <row r="66" spans="1:23">
      <c r="A66">
        <f>Source!A121</f>
        <v>17</v>
      </c>
      <c r="C66">
        <v>3</v>
      </c>
      <c r="D66">
        <v>0</v>
      </c>
      <c r="E66">
        <f>SmtRes!AV76</f>
        <v>0</v>
      </c>
      <c r="F66" t="str">
        <f>SmtRes!I76</f>
        <v>1.3-1-38</v>
      </c>
      <c r="G66" t="str">
        <f>SmtRes!K76</f>
        <v>Смеси бетонные, БСГ, тяжелого бетона на гранитном щебне, класс прочности В15 (М200); П3, фракция 5-20, F50-100, W0-2</v>
      </c>
      <c r="H66" t="str">
        <f>SmtRes!O76</f>
        <v>м3</v>
      </c>
      <c r="I66">
        <f>SmtRes!Y76*Source!I121</f>
        <v>2.544</v>
      </c>
      <c r="J66">
        <f>SmtRes!AO76</f>
        <v>1</v>
      </c>
      <c r="K66">
        <f>SmtRes!AE76</f>
        <v>704.89</v>
      </c>
      <c r="L66">
        <f>SmtRes!DB76</f>
        <v>3383.47</v>
      </c>
      <c r="M66">
        <f>ROUND(ROUND(L66*Source!I121, 6)*1, 2)</f>
        <v>1793.24</v>
      </c>
      <c r="N66">
        <f>SmtRes!AA76</f>
        <v>726.04</v>
      </c>
      <c r="O66">
        <f>ROUND(ROUND(L66*Source!I121, 6)*SmtRes!DA76, 2)</f>
        <v>1793.24</v>
      </c>
      <c r="P66">
        <f>SmtRes!AG76</f>
        <v>0</v>
      </c>
      <c r="Q66">
        <f>SmtRes!DC76</f>
        <v>0</v>
      </c>
      <c r="R66">
        <f>ROUND(ROUND(Q66*Source!I121, 6)*1, 2)</f>
        <v>0</v>
      </c>
      <c r="S66">
        <f>SmtRes!AC76</f>
        <v>0</v>
      </c>
      <c r="T66">
        <f>ROUND(ROUND(Q66*Source!I121, 6)*SmtRes!AK76, 2)</f>
        <v>0</v>
      </c>
      <c r="U66">
        <f>SmtRes!X76</f>
        <v>-758282629</v>
      </c>
      <c r="V66">
        <v>786719351</v>
      </c>
      <c r="W66">
        <v>1212485417</v>
      </c>
    </row>
    <row r="67" spans="1:23">
      <c r="A67">
        <f>Source!A121</f>
        <v>17</v>
      </c>
      <c r="C67">
        <v>3</v>
      </c>
      <c r="D67">
        <v>0</v>
      </c>
      <c r="E67">
        <f>SmtRes!AV75</f>
        <v>0</v>
      </c>
      <c r="F67" t="str">
        <f>SmtRes!I75</f>
        <v>1.1-1-230</v>
      </c>
      <c r="G67" t="str">
        <f>SmtRes!K75</f>
        <v>Доски хвойных пород, обрезные, длина 2-6,5 м, сорт IV, толщина 19-22 мм</v>
      </c>
      <c r="H67" t="str">
        <f>SmtRes!O75</f>
        <v>м3</v>
      </c>
      <c r="I67">
        <f>SmtRes!Y75*Source!I121</f>
        <v>9.0100000000000013E-2</v>
      </c>
      <c r="J67">
        <f>SmtRes!AO75</f>
        <v>1</v>
      </c>
      <c r="K67">
        <f>SmtRes!AE75</f>
        <v>1828.56</v>
      </c>
      <c r="L67">
        <f>SmtRes!DB75</f>
        <v>310.86</v>
      </c>
      <c r="M67">
        <f>ROUND(ROUND(L67*Source!I121, 6)*1, 2)</f>
        <v>164.76</v>
      </c>
      <c r="N67">
        <f>SmtRes!AA75</f>
        <v>1883.42</v>
      </c>
      <c r="O67">
        <f>ROUND(ROUND(L67*Source!I121, 6)*SmtRes!DA75, 2)</f>
        <v>164.76</v>
      </c>
      <c r="P67">
        <f>SmtRes!AG75</f>
        <v>0</v>
      </c>
      <c r="Q67">
        <f>SmtRes!DC75</f>
        <v>0</v>
      </c>
      <c r="R67">
        <f>ROUND(ROUND(Q67*Source!I121, 6)*1, 2)</f>
        <v>0</v>
      </c>
      <c r="S67">
        <f>SmtRes!AC75</f>
        <v>0</v>
      </c>
      <c r="T67">
        <f>ROUND(ROUND(Q67*Source!I121, 6)*SmtRes!AK75, 2)</f>
        <v>0</v>
      </c>
      <c r="U67">
        <f>SmtRes!X75</f>
        <v>-164923881</v>
      </c>
      <c r="V67">
        <v>1113885926</v>
      </c>
      <c r="W67">
        <v>-1046223330</v>
      </c>
    </row>
    <row r="68" spans="1:23">
      <c r="A68">
        <f>Source!A121</f>
        <v>17</v>
      </c>
      <c r="C68">
        <v>3</v>
      </c>
      <c r="D68">
        <v>0</v>
      </c>
      <c r="E68">
        <f>SmtRes!AV74</f>
        <v>0</v>
      </c>
      <c r="F68" t="str">
        <f>SmtRes!I74</f>
        <v>1.1-1-132</v>
      </c>
      <c r="G68" t="str">
        <f>SmtRes!K74</f>
        <v>Гвозди строительные</v>
      </c>
      <c r="H68" t="str">
        <f>SmtRes!O74</f>
        <v>т</v>
      </c>
      <c r="I68">
        <f>SmtRes!Y74*Source!I121</f>
        <v>5.3000000000000009E-4</v>
      </c>
      <c r="J68">
        <f>SmtRes!AO74</f>
        <v>1</v>
      </c>
      <c r="K68">
        <f>SmtRes!AE74</f>
        <v>6521.42</v>
      </c>
      <c r="L68">
        <f>SmtRes!DB74</f>
        <v>6.52</v>
      </c>
      <c r="M68">
        <f>ROUND(ROUND(L68*Source!I121, 6)*1, 2)</f>
        <v>3.46</v>
      </c>
      <c r="N68">
        <f>SmtRes!AA74</f>
        <v>6717.06</v>
      </c>
      <c r="O68">
        <f>ROUND(ROUND(L68*Source!I121, 6)*SmtRes!DA74, 2)</f>
        <v>3.46</v>
      </c>
      <c r="P68">
        <f>SmtRes!AG74</f>
        <v>0</v>
      </c>
      <c r="Q68">
        <f>SmtRes!DC74</f>
        <v>0</v>
      </c>
      <c r="R68">
        <f>ROUND(ROUND(Q68*Source!I121, 6)*1, 2)</f>
        <v>0</v>
      </c>
      <c r="S68">
        <f>SmtRes!AC74</f>
        <v>0</v>
      </c>
      <c r="T68">
        <f>ROUND(ROUND(Q68*Source!I121, 6)*SmtRes!AK74, 2)</f>
        <v>0</v>
      </c>
      <c r="U68">
        <f>SmtRes!X74</f>
        <v>563176784</v>
      </c>
      <c r="V68">
        <v>-676994890</v>
      </c>
      <c r="W68">
        <v>-1683528276</v>
      </c>
    </row>
    <row r="69" spans="1:23">
      <c r="A69">
        <f>Source!A121</f>
        <v>17</v>
      </c>
      <c r="C69">
        <v>2</v>
      </c>
      <c r="D69">
        <v>0</v>
      </c>
      <c r="E69">
        <f>SmtRes!AV73</f>
        <v>0</v>
      </c>
      <c r="F69" t="str">
        <f>SmtRes!I73</f>
        <v>2.1-4-12</v>
      </c>
      <c r="G69" t="str">
        <f>SmtRes!K73</f>
        <v>Погрузчики на автомобильном ходу, грузоподъемность до 5 т</v>
      </c>
      <c r="H69" t="str">
        <f>SmtRes!O73</f>
        <v>маш.-ч.</v>
      </c>
      <c r="I69">
        <f>SmtRes!Y73*Source!I121</f>
        <v>0.11660000000000001</v>
      </c>
      <c r="J69">
        <f>SmtRes!AO73</f>
        <v>1</v>
      </c>
      <c r="K69">
        <f>SmtRes!AF73</f>
        <v>73</v>
      </c>
      <c r="L69">
        <f>SmtRes!DB73</f>
        <v>16.059999999999999</v>
      </c>
      <c r="M69">
        <f>ROUND(ROUND(L69*Source!I121, 6)*1, 2)</f>
        <v>8.51</v>
      </c>
      <c r="N69">
        <f>SmtRes!AB73</f>
        <v>76.430000000000007</v>
      </c>
      <c r="O69">
        <f>ROUND(ROUND(L69*Source!I121, 6)*SmtRes!DA73, 2)</f>
        <v>8.51</v>
      </c>
      <c r="P69">
        <f>SmtRes!AG73</f>
        <v>16.899999999999999</v>
      </c>
      <c r="Q69">
        <f>SmtRes!DC73</f>
        <v>3.72</v>
      </c>
      <c r="R69">
        <f>ROUND(ROUND(Q69*Source!I121, 6)*1, 2)</f>
        <v>1.97</v>
      </c>
      <c r="S69">
        <f>SmtRes!AC73</f>
        <v>17.690000000000001</v>
      </c>
      <c r="T69">
        <f>ROUND(ROUND(Q69*Source!I121, 6)*SmtRes!AK73, 2)</f>
        <v>1.97</v>
      </c>
      <c r="U69">
        <f>SmtRes!X73</f>
        <v>482200787</v>
      </c>
      <c r="V69">
        <v>-708758393</v>
      </c>
      <c r="W69">
        <v>1308690500</v>
      </c>
    </row>
    <row r="70" spans="1:23">
      <c r="A70">
        <f>Source!A121</f>
        <v>17</v>
      </c>
      <c r="C70">
        <v>2</v>
      </c>
      <c r="D70">
        <v>0</v>
      </c>
      <c r="E70">
        <f>SmtRes!AV72</f>
        <v>0</v>
      </c>
      <c r="F70" t="str">
        <f>SmtRes!I72</f>
        <v>2.1-3-38</v>
      </c>
      <c r="G70" t="str">
        <f>SmtRes!K72</f>
        <v>Краны на автомобильном ходу, грузоподъемность до 16 т</v>
      </c>
      <c r="H70" t="str">
        <f>SmtRes!O72</f>
        <v>маш.-ч.</v>
      </c>
      <c r="I70">
        <f>SmtRes!Y72*Source!I121</f>
        <v>7.4200000000000016E-2</v>
      </c>
      <c r="J70">
        <f>SmtRes!AO72</f>
        <v>1</v>
      </c>
      <c r="K70">
        <f>SmtRes!AF72</f>
        <v>190.93</v>
      </c>
      <c r="L70">
        <f>SmtRes!DB72</f>
        <v>26.73</v>
      </c>
      <c r="M70">
        <f>ROUND(ROUND(L70*Source!I121, 6)*1, 2)</f>
        <v>14.17</v>
      </c>
      <c r="N70">
        <f>SmtRes!AB72</f>
        <v>199.9</v>
      </c>
      <c r="O70">
        <f>ROUND(ROUND(L70*Source!I121, 6)*SmtRes!DA72, 2)</f>
        <v>14.17</v>
      </c>
      <c r="P70">
        <f>SmtRes!AG72</f>
        <v>18.149999999999999</v>
      </c>
      <c r="Q70">
        <f>SmtRes!DC72</f>
        <v>2.54</v>
      </c>
      <c r="R70">
        <f>ROUND(ROUND(Q70*Source!I121, 6)*1, 2)</f>
        <v>1.35</v>
      </c>
      <c r="S70">
        <f>SmtRes!AC72</f>
        <v>19</v>
      </c>
      <c r="T70">
        <f>ROUND(ROUND(Q70*Source!I121, 6)*SmtRes!AK72, 2)</f>
        <v>1.35</v>
      </c>
      <c r="U70">
        <f>SmtRes!X72</f>
        <v>-266174272</v>
      </c>
      <c r="V70">
        <v>360917738</v>
      </c>
      <c r="W70">
        <v>1505552583</v>
      </c>
    </row>
    <row r="71" spans="1:23">
      <c r="A71">
        <f>Source!A121</f>
        <v>17</v>
      </c>
      <c r="C71">
        <v>2</v>
      </c>
      <c r="D71">
        <v>0</v>
      </c>
      <c r="E71">
        <f>SmtRes!AV71</f>
        <v>0</v>
      </c>
      <c r="F71" t="str">
        <f>SmtRes!I71</f>
        <v>2.1-18-7</v>
      </c>
      <c r="G71" t="str">
        <f>SmtRes!K71</f>
        <v>Автомобили грузовые бортовые, грузоподъемность до 5 т</v>
      </c>
      <c r="H71" t="str">
        <f>SmtRes!O71</f>
        <v>маш.-ч.</v>
      </c>
      <c r="I71">
        <f>SmtRes!Y71*Source!I121</f>
        <v>7.4200000000000016E-2</v>
      </c>
      <c r="J71">
        <f>SmtRes!AO71</f>
        <v>1</v>
      </c>
      <c r="K71">
        <f>SmtRes!AF71</f>
        <v>76.81</v>
      </c>
      <c r="L71">
        <f>SmtRes!DB71</f>
        <v>10.75</v>
      </c>
      <c r="M71">
        <f>ROUND(ROUND(L71*Source!I121, 6)*1, 2)</f>
        <v>5.7</v>
      </c>
      <c r="N71">
        <f>SmtRes!AB71</f>
        <v>80.42</v>
      </c>
      <c r="O71">
        <f>ROUND(ROUND(L71*Source!I121, 6)*SmtRes!DA71, 2)</f>
        <v>5.7</v>
      </c>
      <c r="P71">
        <f>SmtRes!AG71</f>
        <v>14.36</v>
      </c>
      <c r="Q71">
        <f>SmtRes!DC71</f>
        <v>2.0099999999999998</v>
      </c>
      <c r="R71">
        <f>ROUND(ROUND(Q71*Source!I121, 6)*1, 2)</f>
        <v>1.07</v>
      </c>
      <c r="S71">
        <f>SmtRes!AC71</f>
        <v>15.03</v>
      </c>
      <c r="T71">
        <f>ROUND(ROUND(Q71*Source!I121, 6)*SmtRes!AK71, 2)</f>
        <v>1.07</v>
      </c>
      <c r="U71">
        <f>SmtRes!X71</f>
        <v>-628430174</v>
      </c>
      <c r="V71">
        <v>-1989157500</v>
      </c>
      <c r="W71">
        <v>468192063</v>
      </c>
    </row>
    <row r="72" spans="1:23">
      <c r="A72">
        <f>Source!A122</f>
        <v>18</v>
      </c>
      <c r="B72">
        <v>122</v>
      </c>
      <c r="C72">
        <v>3</v>
      </c>
      <c r="D72">
        <f>Source!BI122</f>
        <v>1</v>
      </c>
      <c r="E72">
        <f>Source!FS122</f>
        <v>0</v>
      </c>
      <c r="F72" t="str">
        <f>Source!F122</f>
        <v>1.5-3-499</v>
      </c>
      <c r="G72" t="str">
        <f>Source!G122</f>
        <v>Камни бетонные бортовые, марка БР 100.20.8</v>
      </c>
      <c r="H72" t="str">
        <f>Source!H122</f>
        <v>м3</v>
      </c>
      <c r="I72">
        <f>Source!I122</f>
        <v>1.537E-3</v>
      </c>
      <c r="J72">
        <v>1</v>
      </c>
      <c r="K72">
        <f>Source!AC122</f>
        <v>2385.71</v>
      </c>
      <c r="M72">
        <f>ROUND(K72*I72, 2)</f>
        <v>3.67</v>
      </c>
      <c r="N72">
        <f>Source!AC122*IF(Source!BC122&lt;&gt; 0, Source!BC122, 1)</f>
        <v>9017.9838</v>
      </c>
      <c r="O72">
        <f>ROUND(N72*I72, 2)</f>
        <v>13.86</v>
      </c>
      <c r="P72">
        <f>Source!AE122</f>
        <v>0</v>
      </c>
      <c r="R72">
        <f>ROUND(P72*I72, 2)</f>
        <v>0</v>
      </c>
      <c r="S72">
        <f>Source!AE122*IF(Source!BS122&lt;&gt; 0, Source!BS122, 1)</f>
        <v>0</v>
      </c>
      <c r="T72">
        <f>ROUND(S72*I72, 2)</f>
        <v>0</v>
      </c>
      <c r="U72">
        <f>Source!GF122</f>
        <v>889553512</v>
      </c>
      <c r="V72">
        <v>-611199556</v>
      </c>
      <c r="W72">
        <v>419291765</v>
      </c>
    </row>
    <row r="73" spans="1:23">
      <c r="A73">
        <f>Source!A154</f>
        <v>4</v>
      </c>
      <c r="B73">
        <v>154</v>
      </c>
      <c r="G73" t="str">
        <f>Source!G154</f>
        <v/>
      </c>
    </row>
    <row r="74" spans="1:23">
      <c r="A74">
        <v>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6"/>
  <sheetViews>
    <sheetView workbookViewId="0"/>
  </sheetViews>
  <sheetFormatPr defaultRowHeight="13.2"/>
  <cols>
    <col min="1" max="1" width="12.77734375" customWidth="1"/>
    <col min="2" max="2" width="40.77734375" customWidth="1"/>
    <col min="3" max="6" width="12.77734375" customWidth="1"/>
    <col min="15" max="18" width="0" hidden="1" customWidth="1"/>
  </cols>
  <sheetData>
    <row r="2" spans="1:17" ht="16.8">
      <c r="A2" s="123" t="s">
        <v>361</v>
      </c>
      <c r="B2" s="124"/>
      <c r="C2" s="124"/>
      <c r="D2" s="124"/>
      <c r="E2" s="124"/>
      <c r="F2" s="124"/>
    </row>
    <row r="3" spans="1:17" ht="16.8">
      <c r="A3" s="123" t="str">
        <f>CONCATENATE("Объект: ",IF(Source!G218&lt;&gt;"Новый объект", Source!G218, ""))</f>
        <v>Объект: Таганка Корт СМР</v>
      </c>
      <c r="B3" s="124"/>
      <c r="C3" s="124"/>
      <c r="D3" s="124"/>
      <c r="E3" s="124"/>
      <c r="F3" s="124"/>
    </row>
    <row r="4" spans="1:17">
      <c r="A4" s="109" t="s">
        <v>362</v>
      </c>
      <c r="B4" s="109" t="s">
        <v>363</v>
      </c>
      <c r="C4" s="109" t="s">
        <v>273</v>
      </c>
      <c r="D4" s="109" t="s">
        <v>364</v>
      </c>
      <c r="E4" s="126" t="s">
        <v>365</v>
      </c>
      <c r="F4" s="127"/>
    </row>
    <row r="5" spans="1:17">
      <c r="A5" s="125"/>
      <c r="B5" s="125"/>
      <c r="C5" s="125"/>
      <c r="D5" s="125"/>
      <c r="E5" s="128"/>
      <c r="F5" s="129"/>
    </row>
    <row r="6" spans="1:17" ht="13.8">
      <c r="A6" s="110"/>
      <c r="B6" s="110"/>
      <c r="C6" s="110"/>
      <c r="D6" s="110"/>
      <c r="E6" s="20" t="s">
        <v>366</v>
      </c>
      <c r="F6" s="20" t="s">
        <v>367</v>
      </c>
    </row>
    <row r="7" spans="1:17" ht="13.8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</row>
    <row r="8" spans="1:17" ht="16.8">
      <c r="A8" s="123" t="str">
        <f>CONCATENATE("Локальная смета: ",IF(Source!G22&lt;&gt;"Новая локальная смета", Source!G22, ""))</f>
        <v xml:space="preserve">Локальная смета: </v>
      </c>
      <c r="B8" s="124"/>
      <c r="C8" s="124"/>
      <c r="D8" s="124"/>
      <c r="E8" s="124"/>
      <c r="F8" s="124"/>
    </row>
    <row r="9" spans="1:17" ht="16.8">
      <c r="A9" s="123" t="str">
        <f>CONCATENATE("Раздел: ",IF(Source!G26&lt;&gt;"Новый раздел", Source!G26, ""))</f>
        <v>Раздел: 10.1. Устройство новых оснований площадок (Корт)</v>
      </c>
      <c r="B9" s="124"/>
      <c r="C9" s="124"/>
      <c r="D9" s="124"/>
      <c r="E9" s="124"/>
      <c r="F9" s="124"/>
    </row>
    <row r="10" spans="1:17" ht="13.8">
      <c r="A10" s="119" t="s">
        <v>368</v>
      </c>
      <c r="B10" s="120"/>
      <c r="C10" s="120"/>
      <c r="D10" s="120"/>
      <c r="E10" s="120"/>
      <c r="F10" s="120"/>
    </row>
    <row r="11" spans="1:17" ht="27.6">
      <c r="A11" s="77" t="s">
        <v>174</v>
      </c>
      <c r="B11" s="38" t="s">
        <v>176</v>
      </c>
      <c r="C11" s="38" t="s">
        <v>177</v>
      </c>
      <c r="D11" s="39">
        <f>ROUND(SUMIF(RV_DATA!W8:'RV_DATA'!W29, -315765011, RV_DATA!I8:'RV_DATA'!I29), 6)</f>
        <v>16.106138000000001</v>
      </c>
      <c r="E11" s="65">
        <f>ROUND(RV_DATA!N9, 6)</f>
        <v>193.58</v>
      </c>
      <c r="F11" s="65">
        <f>ROUND(SUMIF(RV_DATA!W8:'RV_DATA'!W29, -315765011, RV_DATA!O8:'RV_DATA'!O29), 6)</f>
        <v>2615.64</v>
      </c>
      <c r="Q11">
        <v>2</v>
      </c>
    </row>
    <row r="12" spans="1:17" ht="27.6">
      <c r="A12" s="77" t="s">
        <v>199</v>
      </c>
      <c r="B12" s="38" t="s">
        <v>201</v>
      </c>
      <c r="C12" s="38" t="s">
        <v>177</v>
      </c>
      <c r="D12" s="39">
        <f>ROUND(SUMIF(RV_DATA!W8:'RV_DATA'!W29, 465923108, RV_DATA!I8:'RV_DATA'!I29), 6)</f>
        <v>1.9824600000000001</v>
      </c>
      <c r="E12" s="65">
        <f>ROUND(RV_DATA!N25, 6)</f>
        <v>99.53</v>
      </c>
      <c r="F12" s="65">
        <f>ROUND(SUMIF(RV_DATA!W8:'RV_DATA'!W29, 465923108, RV_DATA!O8:'RV_DATA'!O29), 6)</f>
        <v>188.45</v>
      </c>
      <c r="Q12">
        <v>2</v>
      </c>
    </row>
    <row r="13" spans="1:17" ht="27.6">
      <c r="A13" s="77" t="s">
        <v>178</v>
      </c>
      <c r="B13" s="38" t="s">
        <v>180</v>
      </c>
      <c r="C13" s="38" t="s">
        <v>177</v>
      </c>
      <c r="D13" s="39">
        <f>ROUND(SUMIF(RV_DATA!W8:'RV_DATA'!W29, 2001007343, RV_DATA!I8:'RV_DATA'!I29), 6)</f>
        <v>4.0270390000000003</v>
      </c>
      <c r="E13" s="65">
        <f>ROUND(RV_DATA!N8, 6)</f>
        <v>131.49</v>
      </c>
      <c r="F13" s="65">
        <f>ROUND(SUMIF(RV_DATA!W8:'RV_DATA'!W29, 2001007343, RV_DATA!O8:'RV_DATA'!O29), 6)</f>
        <v>444.22</v>
      </c>
      <c r="Q13">
        <v>2</v>
      </c>
    </row>
    <row r="14" spans="1:17" ht="27.6">
      <c r="A14" s="77" t="s">
        <v>181</v>
      </c>
      <c r="B14" s="38" t="s">
        <v>183</v>
      </c>
      <c r="C14" s="38" t="s">
        <v>177</v>
      </c>
      <c r="D14" s="39">
        <f>ROUND(SUMIF(RV_DATA!W8:'RV_DATA'!W29, 1089828244, RV_DATA!I8:'RV_DATA'!I29), 6)</f>
        <v>1.8671679999999999</v>
      </c>
      <c r="E14" s="65">
        <f>ROUND(RV_DATA!N17, 6)</f>
        <v>122.38</v>
      </c>
      <c r="F14" s="65">
        <f>ROUND(SUMIF(RV_DATA!W8:'RV_DATA'!W29, 1089828244, RV_DATA!O8:'RV_DATA'!O29), 6)</f>
        <v>218.26</v>
      </c>
      <c r="Q14">
        <v>2</v>
      </c>
    </row>
    <row r="15" spans="1:17" ht="27.6">
      <c r="A15" s="77" t="s">
        <v>184</v>
      </c>
      <c r="B15" s="38" t="s">
        <v>186</v>
      </c>
      <c r="C15" s="38" t="s">
        <v>177</v>
      </c>
      <c r="D15" s="39">
        <f>ROUND(SUMIF(RV_DATA!W8:'RV_DATA'!W29, -1622304940, RV_DATA!I8:'RV_DATA'!I29), 6)</f>
        <v>1.8671679999999999</v>
      </c>
      <c r="E15" s="65">
        <f>ROUND(RV_DATA!N16, 6)</f>
        <v>65.930000000000007</v>
      </c>
      <c r="F15" s="65">
        <f>ROUND(SUMIF(RV_DATA!W8:'RV_DATA'!W29, -1622304940, RV_DATA!O8:'RV_DATA'!O29), 6)</f>
        <v>117.58</v>
      </c>
      <c r="Q15">
        <v>2</v>
      </c>
    </row>
    <row r="16" spans="1:17" ht="27.6">
      <c r="A16" s="77" t="s">
        <v>187</v>
      </c>
      <c r="B16" s="38" t="s">
        <v>189</v>
      </c>
      <c r="C16" s="38" t="s">
        <v>177</v>
      </c>
      <c r="D16" s="39">
        <f>ROUND(SUMIF(RV_DATA!W8:'RV_DATA'!W29, 1449392439, RV_DATA!I8:'RV_DATA'!I29), 6)</f>
        <v>1.498796</v>
      </c>
      <c r="E16" s="65">
        <f>ROUND(RV_DATA!N15, 6)</f>
        <v>147.19</v>
      </c>
      <c r="F16" s="65">
        <f>ROUND(SUMIF(RV_DATA!W8:'RV_DATA'!W29, 1449392439, RV_DATA!O8:'RV_DATA'!O29), 6)</f>
        <v>210.7</v>
      </c>
      <c r="Q16">
        <v>2</v>
      </c>
    </row>
    <row r="17" spans="1:17" ht="27.6">
      <c r="A17" s="77" t="s">
        <v>202</v>
      </c>
      <c r="B17" s="38" t="s">
        <v>204</v>
      </c>
      <c r="C17" s="38" t="s">
        <v>177</v>
      </c>
      <c r="D17" s="39">
        <f>ROUND(SUMIF(RV_DATA!W8:'RV_DATA'!W29, -1963099646, RV_DATA!I8:'RV_DATA'!I29), 6)</f>
        <v>10.041651999999999</v>
      </c>
      <c r="E17" s="65">
        <f>ROUND(RV_DATA!N23, 6)</f>
        <v>88.81</v>
      </c>
      <c r="F17" s="65">
        <f>ROUND(SUMIF(RV_DATA!W8:'RV_DATA'!W29, -1963099646, RV_DATA!O8:'RV_DATA'!O29), 6)</f>
        <v>851.72</v>
      </c>
      <c r="Q17">
        <v>2</v>
      </c>
    </row>
    <row r="18" spans="1:17" ht="27.6">
      <c r="A18" s="77" t="s">
        <v>205</v>
      </c>
      <c r="B18" s="38" t="s">
        <v>207</v>
      </c>
      <c r="C18" s="38" t="s">
        <v>177</v>
      </c>
      <c r="D18" s="39">
        <f>ROUND(SUMIF(RV_DATA!W8:'RV_DATA'!W29, -977067458, RV_DATA!I8:'RV_DATA'!I29), 6)</f>
        <v>12.316560000000001</v>
      </c>
      <c r="E18" s="65">
        <f>ROUND(RV_DATA!N22, 6)</f>
        <v>125.4</v>
      </c>
      <c r="F18" s="65">
        <f>ROUND(SUMIF(RV_DATA!W8:'RV_DATA'!W29, -977067458, RV_DATA!O8:'RV_DATA'!O29), 6)</f>
        <v>1475.15</v>
      </c>
      <c r="Q18">
        <v>2</v>
      </c>
    </row>
    <row r="19" spans="1:17" ht="27.6">
      <c r="A19" s="77" t="s">
        <v>190</v>
      </c>
      <c r="B19" s="38" t="s">
        <v>192</v>
      </c>
      <c r="C19" s="38" t="s">
        <v>177</v>
      </c>
      <c r="D19" s="39">
        <f>ROUND(SUMIF(RV_DATA!W8:'RV_DATA'!W29, -796572181, RV_DATA!I8:'RV_DATA'!I29), 6)</f>
        <v>3.2534839999999998</v>
      </c>
      <c r="E19" s="65">
        <f>ROUND(RV_DATA!N14, 6)</f>
        <v>131.01</v>
      </c>
      <c r="F19" s="65">
        <f>ROUND(SUMIF(RV_DATA!W8:'RV_DATA'!W29, -796572181, RV_DATA!O8:'RV_DATA'!O29), 6)</f>
        <v>407.1</v>
      </c>
      <c r="Q19">
        <v>2</v>
      </c>
    </row>
    <row r="20" spans="1:17" ht="27.6">
      <c r="A20" s="77" t="s">
        <v>193</v>
      </c>
      <c r="B20" s="38" t="s">
        <v>195</v>
      </c>
      <c r="C20" s="38" t="s">
        <v>177</v>
      </c>
      <c r="D20" s="39">
        <f>ROUND(SUMIF(RV_DATA!W8:'RV_DATA'!W29, -1459739079, RV_DATA!I8:'RV_DATA'!I29), 6)</f>
        <v>1.023568</v>
      </c>
      <c r="E20" s="65">
        <f>ROUND(RV_DATA!N13, 6)</f>
        <v>186.39</v>
      </c>
      <c r="F20" s="65">
        <f>ROUND(SUMIF(RV_DATA!W8:'RV_DATA'!W29, -1459739079, RV_DATA!O8:'RV_DATA'!O29), 6)</f>
        <v>182.21</v>
      </c>
      <c r="Q20">
        <v>2</v>
      </c>
    </row>
    <row r="21" spans="1:17" ht="13.8">
      <c r="A21" s="121" t="s">
        <v>369</v>
      </c>
      <c r="B21" s="121"/>
      <c r="C21" s="121"/>
      <c r="D21" s="121"/>
      <c r="E21" s="122">
        <f>SUMIF(Q11:Q20, 2, F11:F20)</f>
        <v>6711.03</v>
      </c>
      <c r="F21" s="121"/>
    </row>
    <row r="22" spans="1:17" ht="13.8">
      <c r="A22" s="119" t="s">
        <v>370</v>
      </c>
      <c r="B22" s="120"/>
      <c r="C22" s="120"/>
      <c r="D22" s="120"/>
      <c r="E22" s="120"/>
      <c r="F22" s="120"/>
    </row>
    <row r="23" spans="1:17" ht="13.8">
      <c r="A23" s="77" t="s">
        <v>196</v>
      </c>
      <c r="B23" s="38" t="s">
        <v>198</v>
      </c>
      <c r="C23" s="38" t="s">
        <v>47</v>
      </c>
      <c r="D23" s="39">
        <f>ROUND(SUMIF(RV_DATA!W8:'RV_DATA'!W29, -1664650379, RV_DATA!I8:'RV_DATA'!I29), 6)</f>
        <v>11.529199999999999</v>
      </c>
      <c r="E23" s="65">
        <f>ROUND(RV_DATA!N12, 6)</f>
        <v>7.08</v>
      </c>
      <c r="F23" s="65">
        <f>ROUND(SUMIF(RV_DATA!W8:'RV_DATA'!W29, -1664650379, RV_DATA!O8:'RV_DATA'!O29), 6)</f>
        <v>81.510000000000005</v>
      </c>
      <c r="Q23">
        <v>3</v>
      </c>
    </row>
    <row r="24" spans="1:17" ht="41.4">
      <c r="A24" s="77" t="s">
        <v>54</v>
      </c>
      <c r="B24" s="38" t="s">
        <v>55</v>
      </c>
      <c r="C24" s="38" t="s">
        <v>47</v>
      </c>
      <c r="D24" s="39">
        <f>ROUND(SUMIF(RV_DATA!W8:'RV_DATA'!W29, -1507855024, RV_DATA!I8:'RV_DATA'!I29), 6)</f>
        <v>106.2936</v>
      </c>
      <c r="E24" s="65">
        <f>ROUND(RV_DATA!N26, 6)</f>
        <v>1815.1839</v>
      </c>
      <c r="F24" s="65">
        <f>ROUND(SUMIF(RV_DATA!W8:'RV_DATA'!W29, -1507855024, RV_DATA!O8:'RV_DATA'!O29), 6)</f>
        <v>192942.43</v>
      </c>
      <c r="Q24">
        <v>3</v>
      </c>
    </row>
    <row r="25" spans="1:17" ht="27.6">
      <c r="A25" s="77" t="s">
        <v>208</v>
      </c>
      <c r="B25" s="38" t="s">
        <v>210</v>
      </c>
      <c r="C25" s="38" t="s">
        <v>67</v>
      </c>
      <c r="D25" s="39">
        <f>ROUND(SUMIF(RV_DATA!W8:'RV_DATA'!W29, 977557618, RV_DATA!I8:'RV_DATA'!I29), 6)</f>
        <v>0.33744000000000002</v>
      </c>
      <c r="E25" s="65">
        <f>ROUND(RV_DATA!N27, 6)</f>
        <v>3501.78</v>
      </c>
      <c r="F25" s="65">
        <f>ROUND(SUMIF(RV_DATA!W8:'RV_DATA'!W29, 977557618, RV_DATA!O8:'RV_DATA'!O29), 6)</f>
        <v>1181.6600000000001</v>
      </c>
      <c r="Q25">
        <v>3</v>
      </c>
    </row>
    <row r="26" spans="1:17" ht="13.8">
      <c r="A26" s="77" t="s">
        <v>45</v>
      </c>
      <c r="B26" s="38" t="s">
        <v>46</v>
      </c>
      <c r="C26" s="38" t="s">
        <v>47</v>
      </c>
      <c r="D26" s="39">
        <f>ROUND(SUMIF(RV_DATA!W8:'RV_DATA'!W29, 1615926593, RV_DATA!I8:'RV_DATA'!I29), 6)</f>
        <v>123.72799999999999</v>
      </c>
      <c r="E26" s="65">
        <f>ROUND(RV_DATA!N18, 6)</f>
        <v>552.24739999999997</v>
      </c>
      <c r="F26" s="65">
        <f>ROUND(SUMIF(RV_DATA!W8:'RV_DATA'!W29, 1615926593, RV_DATA!O8:'RV_DATA'!O29), 6)</f>
        <v>68328.47</v>
      </c>
      <c r="Q26">
        <v>3</v>
      </c>
    </row>
    <row r="27" spans="1:17" ht="27.6">
      <c r="A27" s="77" t="s">
        <v>65</v>
      </c>
      <c r="B27" s="38" t="s">
        <v>66</v>
      </c>
      <c r="C27" s="38" t="s">
        <v>67</v>
      </c>
      <c r="D27" s="39">
        <f>ROUND(SUMIF(RV_DATA!W8:'RV_DATA'!W29, -906958896, RV_DATA!I8:'RV_DATA'!I29), 6)</f>
        <v>62.671044000000002</v>
      </c>
      <c r="E27" s="65">
        <f>ROUND(RV_DATA!N29, 6)</f>
        <v>2623.17</v>
      </c>
      <c r="F27" s="65">
        <f>ROUND(SUMIF(RV_DATA!W8:'RV_DATA'!W29, -906958896, RV_DATA!O8:'RV_DATA'!O29), 6)</f>
        <v>164396.79999999999</v>
      </c>
      <c r="Q27">
        <v>3</v>
      </c>
    </row>
    <row r="28" spans="1:17" ht="13.8">
      <c r="A28" s="121" t="s">
        <v>371</v>
      </c>
      <c r="B28" s="121"/>
      <c r="C28" s="121"/>
      <c r="D28" s="121"/>
      <c r="E28" s="122">
        <f>SUMIF(Q23:Q27, 3, F23:F27)</f>
        <v>426930.87</v>
      </c>
      <c r="F28" s="121"/>
    </row>
    <row r="29" spans="1:17" ht="16.8">
      <c r="A29" s="123" t="str">
        <f>CONCATENATE("Раздел: ",IF(Source!G71&lt;&gt;"Новый раздел", Source!G71, ""))</f>
        <v>Раздел: 27.1 Плиточное покрытие</v>
      </c>
      <c r="B29" s="124"/>
      <c r="C29" s="124"/>
      <c r="D29" s="124"/>
      <c r="E29" s="124"/>
      <c r="F29" s="124"/>
    </row>
    <row r="30" spans="1:17" ht="13.8">
      <c r="A30" s="119" t="s">
        <v>368</v>
      </c>
      <c r="B30" s="120"/>
      <c r="C30" s="120"/>
      <c r="D30" s="120"/>
      <c r="E30" s="120"/>
      <c r="F30" s="120"/>
    </row>
    <row r="31" spans="1:17" ht="27.6">
      <c r="A31" s="77" t="s">
        <v>174</v>
      </c>
      <c r="B31" s="38" t="s">
        <v>176</v>
      </c>
      <c r="C31" s="38" t="s">
        <v>177</v>
      </c>
      <c r="D31" s="39">
        <f>ROUND(SUMIF(RV_DATA!W31:'RV_DATA'!W56, -315765011, RV_DATA!I31:'RV_DATA'!I56), 6)</f>
        <v>1.203667</v>
      </c>
      <c r="E31" s="65">
        <f>ROUND(RV_DATA!N32, 6)</f>
        <v>193.58</v>
      </c>
      <c r="F31" s="65">
        <f>ROUND(SUMIF(RV_DATA!W31:'RV_DATA'!W56, -315765011, RV_DATA!O31:'RV_DATA'!O56), 6)</f>
        <v>195.48</v>
      </c>
      <c r="Q31">
        <v>2</v>
      </c>
    </row>
    <row r="32" spans="1:17" ht="27.6">
      <c r="A32" s="77" t="s">
        <v>199</v>
      </c>
      <c r="B32" s="38" t="s">
        <v>201</v>
      </c>
      <c r="C32" s="38" t="s">
        <v>177</v>
      </c>
      <c r="D32" s="39">
        <f>ROUND(SUMIF(RV_DATA!W31:'RV_DATA'!W56, 465923108, RV_DATA!I31:'RV_DATA'!I56), 6)</f>
        <v>0.21995999999999999</v>
      </c>
      <c r="E32" s="65">
        <f>ROUND(RV_DATA!N46, 6)</f>
        <v>99.53</v>
      </c>
      <c r="F32" s="65">
        <f>ROUND(SUMIF(RV_DATA!W31:'RV_DATA'!W56, 465923108, RV_DATA!O31:'RV_DATA'!O56), 6)</f>
        <v>20.91</v>
      </c>
      <c r="Q32">
        <v>2</v>
      </c>
    </row>
    <row r="33" spans="1:17" ht="27.6">
      <c r="A33" s="77" t="s">
        <v>178</v>
      </c>
      <c r="B33" s="38" t="s">
        <v>180</v>
      </c>
      <c r="C33" s="38" t="s">
        <v>177</v>
      </c>
      <c r="D33" s="39">
        <f>ROUND(SUMIF(RV_DATA!W31:'RV_DATA'!W56, 2001007343, RV_DATA!I31:'RV_DATA'!I56), 6)</f>
        <v>0.300954</v>
      </c>
      <c r="E33" s="65">
        <f>ROUND(RV_DATA!N31, 6)</f>
        <v>131.49</v>
      </c>
      <c r="F33" s="65">
        <f>ROUND(SUMIF(RV_DATA!W31:'RV_DATA'!W56, 2001007343, RV_DATA!O31:'RV_DATA'!O56), 6)</f>
        <v>33.200000000000003</v>
      </c>
      <c r="Q33">
        <v>2</v>
      </c>
    </row>
    <row r="34" spans="1:17" ht="27.6">
      <c r="A34" s="77" t="s">
        <v>211</v>
      </c>
      <c r="B34" s="38" t="s">
        <v>213</v>
      </c>
      <c r="C34" s="38" t="s">
        <v>177</v>
      </c>
      <c r="D34" s="39">
        <f>ROUND(SUMIF(RV_DATA!W31:'RV_DATA'!W56, 839392652, RV_DATA!I31:'RV_DATA'!I56), 6)</f>
        <v>2.5583999999999998</v>
      </c>
      <c r="E34" s="65">
        <f>ROUND(RV_DATA!N53, 6)</f>
        <v>17.420000000000002</v>
      </c>
      <c r="F34" s="65">
        <f>ROUND(SUMIF(RV_DATA!W31:'RV_DATA'!W56, 839392652, RV_DATA!O31:'RV_DATA'!O56), 6)</f>
        <v>44.57</v>
      </c>
      <c r="Q34">
        <v>2</v>
      </c>
    </row>
    <row r="35" spans="1:17" ht="27.6">
      <c r="A35" s="77" t="s">
        <v>214</v>
      </c>
      <c r="B35" s="38" t="s">
        <v>216</v>
      </c>
      <c r="C35" s="38" t="s">
        <v>177</v>
      </c>
      <c r="D35" s="39">
        <f>ROUND(SUMIF(RV_DATA!W31:'RV_DATA'!W56, -1989157500, RV_DATA!I31:'RV_DATA'!I56), 6)</f>
        <v>0.63180000000000003</v>
      </c>
      <c r="E35" s="65">
        <f>ROUND(RV_DATA!N52, 6)</f>
        <v>76.81</v>
      </c>
      <c r="F35" s="65">
        <f>ROUND(SUMIF(RV_DATA!W31:'RV_DATA'!W56, -1989157500, RV_DATA!O31:'RV_DATA'!O56), 6)</f>
        <v>48.53</v>
      </c>
      <c r="Q35">
        <v>2</v>
      </c>
    </row>
    <row r="36" spans="1:17" ht="27.6">
      <c r="A36" s="77" t="s">
        <v>181</v>
      </c>
      <c r="B36" s="38" t="s">
        <v>183</v>
      </c>
      <c r="C36" s="38" t="s">
        <v>177</v>
      </c>
      <c r="D36" s="39">
        <f>ROUND(SUMIF(RV_DATA!W31:'RV_DATA'!W56, 1089828244, RV_DATA!I31:'RV_DATA'!I56), 6)</f>
        <v>0.25896000000000002</v>
      </c>
      <c r="E36" s="65">
        <f>ROUND(RV_DATA!N38, 6)</f>
        <v>122.38</v>
      </c>
      <c r="F36" s="65">
        <f>ROUND(SUMIF(RV_DATA!W31:'RV_DATA'!W56, 1089828244, RV_DATA!O31:'RV_DATA'!O56), 6)</f>
        <v>30.27</v>
      </c>
      <c r="Q36">
        <v>2</v>
      </c>
    </row>
    <row r="37" spans="1:17" ht="27.6">
      <c r="A37" s="77" t="s">
        <v>217</v>
      </c>
      <c r="B37" s="38" t="s">
        <v>219</v>
      </c>
      <c r="C37" s="38" t="s">
        <v>177</v>
      </c>
      <c r="D37" s="39">
        <f>ROUND(SUMIF(RV_DATA!W31:'RV_DATA'!W56, -1709388950, RV_DATA!I31:'RV_DATA'!I56), 6)</f>
        <v>1.3572</v>
      </c>
      <c r="E37" s="65">
        <f>ROUND(RV_DATA!N51, 6)</f>
        <v>0.81</v>
      </c>
      <c r="F37" s="65">
        <f>ROUND(SUMIF(RV_DATA!W31:'RV_DATA'!W56, -1709388950, RV_DATA!O31:'RV_DATA'!O56), 6)</f>
        <v>1.1000000000000001</v>
      </c>
      <c r="Q37">
        <v>2</v>
      </c>
    </row>
    <row r="38" spans="1:17" ht="27.6">
      <c r="A38" s="77" t="s">
        <v>220</v>
      </c>
      <c r="B38" s="38" t="s">
        <v>222</v>
      </c>
      <c r="C38" s="38" t="s">
        <v>177</v>
      </c>
      <c r="D38" s="39">
        <f>ROUND(SUMIF(RV_DATA!W31:'RV_DATA'!W56, 360917738, RV_DATA!I31:'RV_DATA'!I56), 6)</f>
        <v>0.63180000000000003</v>
      </c>
      <c r="E38" s="65">
        <f>ROUND(RV_DATA!N50, 6)</f>
        <v>190.93</v>
      </c>
      <c r="F38" s="65">
        <f>ROUND(SUMIF(RV_DATA!W31:'RV_DATA'!W56, 360917738, RV_DATA!O31:'RV_DATA'!O56), 6)</f>
        <v>120.63</v>
      </c>
      <c r="Q38">
        <v>2</v>
      </c>
    </row>
    <row r="39" spans="1:17" ht="27.6">
      <c r="A39" s="77" t="s">
        <v>184</v>
      </c>
      <c r="B39" s="38" t="s">
        <v>186</v>
      </c>
      <c r="C39" s="38" t="s">
        <v>177</v>
      </c>
      <c r="D39" s="39">
        <f>ROUND(SUMIF(RV_DATA!W31:'RV_DATA'!W56, -1622304940, RV_DATA!I31:'RV_DATA'!I56), 6)</f>
        <v>0.25896000000000002</v>
      </c>
      <c r="E39" s="65">
        <f>ROUND(RV_DATA!N37, 6)</f>
        <v>65.930000000000007</v>
      </c>
      <c r="F39" s="65">
        <f>ROUND(SUMIF(RV_DATA!W31:'RV_DATA'!W56, -1622304940, RV_DATA!O31:'RV_DATA'!O56), 6)</f>
        <v>16.309999999999999</v>
      </c>
      <c r="Q39">
        <v>2</v>
      </c>
    </row>
    <row r="40" spans="1:17" ht="27.6">
      <c r="A40" s="77" t="s">
        <v>187</v>
      </c>
      <c r="B40" s="38" t="s">
        <v>189</v>
      </c>
      <c r="C40" s="38" t="s">
        <v>177</v>
      </c>
      <c r="D40" s="39">
        <f>ROUND(SUMIF(RV_DATA!W31:'RV_DATA'!W56, 1449392439, RV_DATA!I31:'RV_DATA'!I56), 6)</f>
        <v>0.18657599999999999</v>
      </c>
      <c r="E40" s="65">
        <f>ROUND(RV_DATA!N36, 6)</f>
        <v>147.19</v>
      </c>
      <c r="F40" s="65">
        <f>ROUND(SUMIF(RV_DATA!W31:'RV_DATA'!W56, 1449392439, RV_DATA!O31:'RV_DATA'!O56), 6)</f>
        <v>26.23</v>
      </c>
      <c r="Q40">
        <v>2</v>
      </c>
    </row>
    <row r="41" spans="1:17" ht="27.6">
      <c r="A41" s="77" t="s">
        <v>202</v>
      </c>
      <c r="B41" s="38" t="s">
        <v>204</v>
      </c>
      <c r="C41" s="38" t="s">
        <v>177</v>
      </c>
      <c r="D41" s="39">
        <f>ROUND(SUMIF(RV_DATA!W31:'RV_DATA'!W56, -1963099646, RV_DATA!I31:'RV_DATA'!I56), 6)</f>
        <v>0.67111200000000004</v>
      </c>
      <c r="E41" s="65">
        <f>ROUND(RV_DATA!N44, 6)</f>
        <v>88.81</v>
      </c>
      <c r="F41" s="65">
        <f>ROUND(SUMIF(RV_DATA!W31:'RV_DATA'!W56, -1963099646, RV_DATA!O31:'RV_DATA'!O56), 6)</f>
        <v>56.92</v>
      </c>
      <c r="Q41">
        <v>2</v>
      </c>
    </row>
    <row r="42" spans="1:17" ht="27.6">
      <c r="A42" s="77" t="s">
        <v>205</v>
      </c>
      <c r="B42" s="38" t="s">
        <v>207</v>
      </c>
      <c r="C42" s="38" t="s">
        <v>177</v>
      </c>
      <c r="D42" s="39">
        <f>ROUND(SUMIF(RV_DATA!W31:'RV_DATA'!W56, -977067458, RV_DATA!I31:'RV_DATA'!I56), 6)</f>
        <v>1.36656</v>
      </c>
      <c r="E42" s="65">
        <f>ROUND(RV_DATA!N43, 6)</f>
        <v>125.4</v>
      </c>
      <c r="F42" s="65">
        <f>ROUND(SUMIF(RV_DATA!W31:'RV_DATA'!W56, -977067458, RV_DATA!O31:'RV_DATA'!O56), 6)</f>
        <v>163.66999999999999</v>
      </c>
      <c r="Q42">
        <v>2</v>
      </c>
    </row>
    <row r="43" spans="1:17" ht="27.6">
      <c r="A43" s="77" t="s">
        <v>190</v>
      </c>
      <c r="B43" s="38" t="s">
        <v>192</v>
      </c>
      <c r="C43" s="38" t="s">
        <v>177</v>
      </c>
      <c r="D43" s="39">
        <f>ROUND(SUMIF(RV_DATA!W31:'RV_DATA'!W56, -796572181, RV_DATA!I31:'RV_DATA'!I56), 6)</f>
        <v>0.40934399999999999</v>
      </c>
      <c r="E43" s="65">
        <f>ROUND(RV_DATA!N35, 6)</f>
        <v>131.01</v>
      </c>
      <c r="F43" s="65">
        <f>ROUND(SUMIF(RV_DATA!W31:'RV_DATA'!W56, -796572181, RV_DATA!O31:'RV_DATA'!O56), 6)</f>
        <v>51.22</v>
      </c>
      <c r="Q43">
        <v>2</v>
      </c>
    </row>
    <row r="44" spans="1:17" ht="27.6">
      <c r="A44" s="77" t="s">
        <v>193</v>
      </c>
      <c r="B44" s="38" t="s">
        <v>195</v>
      </c>
      <c r="C44" s="38" t="s">
        <v>177</v>
      </c>
      <c r="D44" s="39">
        <f>ROUND(SUMIF(RV_DATA!W31:'RV_DATA'!W56, -1459739079, RV_DATA!I31:'RV_DATA'!I56), 6)</f>
        <v>0.12979199999999999</v>
      </c>
      <c r="E44" s="65">
        <f>ROUND(RV_DATA!N34, 6)</f>
        <v>186.39</v>
      </c>
      <c r="F44" s="65">
        <f>ROUND(SUMIF(RV_DATA!W31:'RV_DATA'!W56, -1459739079, RV_DATA!O31:'RV_DATA'!O56), 6)</f>
        <v>23.1</v>
      </c>
      <c r="Q44">
        <v>2</v>
      </c>
    </row>
    <row r="45" spans="1:17" ht="13.8">
      <c r="A45" s="77" t="s">
        <v>223</v>
      </c>
      <c r="B45" s="38" t="s">
        <v>224</v>
      </c>
      <c r="C45" s="38" t="s">
        <v>225</v>
      </c>
      <c r="D45" s="39">
        <f>ROUND(SUMIF(RV_DATA!W31:'RV_DATA'!W56, 54769220, RV_DATA!I31:'RV_DATA'!I56), 6)</f>
        <v>7.7999999999999996E-3</v>
      </c>
      <c r="E45" s="65">
        <f>ROUND(RV_DATA!N49, 6)</f>
        <v>1</v>
      </c>
      <c r="F45" s="65">
        <f>ROUND(SUMIF(RV_DATA!W31:'RV_DATA'!W56, 54769220, RV_DATA!O31:'RV_DATA'!O56), 6)</f>
        <v>0.01</v>
      </c>
      <c r="Q45">
        <v>2</v>
      </c>
    </row>
    <row r="46" spans="1:17" ht="13.8">
      <c r="A46" s="121" t="s">
        <v>369</v>
      </c>
      <c r="B46" s="121"/>
      <c r="C46" s="121"/>
      <c r="D46" s="121"/>
      <c r="E46" s="122">
        <f>SUMIF(Q31:Q45, 2, F31:F45)</f>
        <v>832.14999999999986</v>
      </c>
      <c r="F46" s="121"/>
    </row>
    <row r="47" spans="1:17" ht="13.8">
      <c r="A47" s="119" t="s">
        <v>370</v>
      </c>
      <c r="B47" s="120"/>
      <c r="C47" s="120"/>
      <c r="D47" s="120"/>
      <c r="E47" s="120"/>
      <c r="F47" s="120"/>
    </row>
    <row r="48" spans="1:17" ht="13.8">
      <c r="A48" s="77" t="s">
        <v>196</v>
      </c>
      <c r="B48" s="38" t="s">
        <v>198</v>
      </c>
      <c r="C48" s="38" t="s">
        <v>47</v>
      </c>
      <c r="D48" s="39">
        <f>ROUND(SUMIF(RV_DATA!W31:'RV_DATA'!W56, -1664650379, RV_DATA!I31:'RV_DATA'!I56), 6)</f>
        <v>1.4352</v>
      </c>
      <c r="E48" s="65">
        <f>ROUND(RV_DATA!N33, 6)</f>
        <v>7.08</v>
      </c>
      <c r="F48" s="65">
        <f>ROUND(SUMIF(RV_DATA!W31:'RV_DATA'!W56, -1664650379, RV_DATA!O31:'RV_DATA'!O56), 6)</f>
        <v>10.14</v>
      </c>
      <c r="Q48">
        <v>3</v>
      </c>
    </row>
    <row r="49" spans="1:17" ht="41.4">
      <c r="A49" s="77" t="s">
        <v>54</v>
      </c>
      <c r="B49" s="38" t="s">
        <v>55</v>
      </c>
      <c r="C49" s="38" t="s">
        <v>47</v>
      </c>
      <c r="D49" s="39">
        <f>ROUND(SUMIF(RV_DATA!W31:'RV_DATA'!W56, -1507855024, RV_DATA!I31:'RV_DATA'!I56), 6)</f>
        <v>11.7936</v>
      </c>
      <c r="E49" s="65">
        <f>ROUND(RV_DATA!N47, 6)</f>
        <v>1815.1839</v>
      </c>
      <c r="F49" s="65">
        <f>ROUND(SUMIF(RV_DATA!W31:'RV_DATA'!W56, -1507855024, RV_DATA!O31:'RV_DATA'!O56), 6)</f>
        <v>21407.55</v>
      </c>
      <c r="Q49">
        <v>3</v>
      </c>
    </row>
    <row r="50" spans="1:17" ht="13.8">
      <c r="A50" s="77" t="s">
        <v>45</v>
      </c>
      <c r="B50" s="38" t="s">
        <v>46</v>
      </c>
      <c r="C50" s="38" t="s">
        <v>47</v>
      </c>
      <c r="D50" s="39">
        <f>ROUND(SUMIF(RV_DATA!W31:'RV_DATA'!W56, 1615926593, RV_DATA!I31:'RV_DATA'!I56), 6)</f>
        <v>17.16</v>
      </c>
      <c r="E50" s="65">
        <f>ROUND(RV_DATA!N39, 6)</f>
        <v>552.24739999999997</v>
      </c>
      <c r="F50" s="65">
        <f>ROUND(SUMIF(RV_DATA!W31:'RV_DATA'!W56, 1615926593, RV_DATA!O31:'RV_DATA'!O56), 6)</f>
        <v>9476.57</v>
      </c>
      <c r="Q50">
        <v>3</v>
      </c>
    </row>
    <row r="51" spans="1:17" ht="13.8">
      <c r="A51" s="77" t="s">
        <v>45</v>
      </c>
      <c r="B51" s="38" t="s">
        <v>46</v>
      </c>
      <c r="C51" s="38" t="s">
        <v>47</v>
      </c>
      <c r="D51" s="39">
        <f>ROUND(SUMIF(RV_DATA!W31:'RV_DATA'!W56, 464578271, RV_DATA!I31:'RV_DATA'!I56), 6)</f>
        <v>0.1638</v>
      </c>
      <c r="E51" s="65">
        <f>ROUND(RV_DATA!N48, 6)</f>
        <v>104.99</v>
      </c>
      <c r="F51" s="65">
        <f>ROUND(SUMIF(RV_DATA!W31:'RV_DATA'!W56, 464578271, RV_DATA!O31:'RV_DATA'!O56), 6)</f>
        <v>17.2</v>
      </c>
      <c r="Q51">
        <v>3</v>
      </c>
    </row>
    <row r="52" spans="1:17" ht="41.4">
      <c r="A52" s="77" t="s">
        <v>149</v>
      </c>
      <c r="B52" s="38" t="s">
        <v>150</v>
      </c>
      <c r="C52" s="38" t="s">
        <v>67</v>
      </c>
      <c r="D52" s="39">
        <f>ROUND(SUMIF(RV_DATA!W31:'RV_DATA'!W56, -485903622, RV_DATA!I31:'RV_DATA'!I56), 6)</f>
        <v>1.7549999999999999</v>
      </c>
      <c r="E52" s="65">
        <f>ROUND(RV_DATA!N56, 6)</f>
        <v>3195.7172999999998</v>
      </c>
      <c r="F52" s="65">
        <f>ROUND(SUMIF(RV_DATA!W31:'RV_DATA'!W56, -485903622, RV_DATA!O31:'RV_DATA'!O56), 6)</f>
        <v>5608.48</v>
      </c>
      <c r="Q52">
        <v>3</v>
      </c>
    </row>
    <row r="53" spans="1:17" ht="27.6">
      <c r="A53" s="77" t="s">
        <v>144</v>
      </c>
      <c r="B53" s="38" t="s">
        <v>145</v>
      </c>
      <c r="C53" s="38" t="s">
        <v>146</v>
      </c>
      <c r="D53" s="39">
        <f>ROUND(SUMIF(RV_DATA!W31:'RV_DATA'!W56, -2625374, RV_DATA!I31:'RV_DATA'!I56), 6)</f>
        <v>79.210560000000001</v>
      </c>
      <c r="E53" s="65">
        <f>ROUND(RV_DATA!N55, 6)</f>
        <v>845.00400000000002</v>
      </c>
      <c r="F53" s="65">
        <f>ROUND(SUMIF(RV_DATA!W31:'RV_DATA'!W56, -2625374, RV_DATA!O31:'RV_DATA'!O56), 6)</f>
        <v>66933.240000000005</v>
      </c>
      <c r="Q53">
        <v>3</v>
      </c>
    </row>
    <row r="54" spans="1:17" ht="27.6">
      <c r="A54" s="77" t="s">
        <v>139</v>
      </c>
      <c r="B54" s="38" t="s">
        <v>140</v>
      </c>
      <c r="C54" s="38" t="s">
        <v>141</v>
      </c>
      <c r="D54" s="39">
        <f>ROUND(SUMIF(RV_DATA!W31:'RV_DATA'!W56, 131635020, RV_DATA!I31:'RV_DATA'!I56), 6)</f>
        <v>1.17</v>
      </c>
      <c r="E54" s="65">
        <f>ROUND(RV_DATA!N54, 6)</f>
        <v>792.45420000000001</v>
      </c>
      <c r="F54" s="65">
        <f>ROUND(SUMIF(RV_DATA!W31:'RV_DATA'!W56, 131635020, RV_DATA!O31:'RV_DATA'!O56), 6)</f>
        <v>927.17</v>
      </c>
      <c r="Q54">
        <v>3</v>
      </c>
    </row>
    <row r="55" spans="1:17" ht="13.8">
      <c r="A55" s="121" t="s">
        <v>371</v>
      </c>
      <c r="B55" s="121"/>
      <c r="C55" s="121"/>
      <c r="D55" s="121"/>
      <c r="E55" s="122">
        <f>SUMIF(Q48:Q54, 3, F48:F54)</f>
        <v>104380.35</v>
      </c>
      <c r="F55" s="121"/>
    </row>
    <row r="56" spans="1:17" ht="16.8">
      <c r="A56" s="123" t="str">
        <f>CONCATENATE("Раздел: ",IF(Source!G117&lt;&gt;"Новый раздел", Source!G117, ""))</f>
        <v>Раздел: 28. Камень бортовой садовый</v>
      </c>
      <c r="B56" s="124"/>
      <c r="C56" s="124"/>
      <c r="D56" s="124"/>
      <c r="E56" s="124"/>
      <c r="F56" s="124"/>
    </row>
    <row r="57" spans="1:17" ht="13.8">
      <c r="A57" s="119" t="s">
        <v>368</v>
      </c>
      <c r="B57" s="120"/>
      <c r="C57" s="120"/>
      <c r="D57" s="120"/>
      <c r="E57" s="120"/>
      <c r="F57" s="120"/>
    </row>
    <row r="58" spans="1:17" ht="27.6">
      <c r="A58" s="77" t="s">
        <v>214</v>
      </c>
      <c r="B58" s="38" t="s">
        <v>216</v>
      </c>
      <c r="C58" s="38" t="s">
        <v>177</v>
      </c>
      <c r="D58" s="39">
        <f>ROUND(SUMIF(RV_DATA!W58:'RV_DATA'!W72, 468192063, RV_DATA!I58:'RV_DATA'!I72), 6)</f>
        <v>7.4200000000000002E-2</v>
      </c>
      <c r="E58" s="65">
        <f>ROUND(RV_DATA!N71, 6)</f>
        <v>80.42</v>
      </c>
      <c r="F58" s="65">
        <f>ROUND(SUMIF(RV_DATA!W58:'RV_DATA'!W72, 468192063, RV_DATA!O58:'RV_DATA'!O72), 6)</f>
        <v>5.7</v>
      </c>
      <c r="Q58">
        <v>2</v>
      </c>
    </row>
    <row r="59" spans="1:17" ht="27.6">
      <c r="A59" s="77" t="s">
        <v>181</v>
      </c>
      <c r="B59" s="38" t="s">
        <v>183</v>
      </c>
      <c r="C59" s="38" t="s">
        <v>177</v>
      </c>
      <c r="D59" s="39">
        <f>ROUND(SUMIF(RV_DATA!W58:'RV_DATA'!W72, 1089828244, RV_DATA!I58:'RV_DATA'!I72), 6)</f>
        <v>1.7596000000000001E-2</v>
      </c>
      <c r="E59" s="65">
        <f>ROUND(RV_DATA!N63, 6)</f>
        <v>122.38</v>
      </c>
      <c r="F59" s="65">
        <f>ROUND(SUMIF(RV_DATA!W58:'RV_DATA'!W72, 1089828244, RV_DATA!O58:'RV_DATA'!O72), 6)</f>
        <v>2.06</v>
      </c>
      <c r="Q59">
        <v>2</v>
      </c>
    </row>
    <row r="60" spans="1:17" ht="27.6">
      <c r="A60" s="77" t="s">
        <v>220</v>
      </c>
      <c r="B60" s="38" t="s">
        <v>222</v>
      </c>
      <c r="C60" s="38" t="s">
        <v>177</v>
      </c>
      <c r="D60" s="39">
        <f>ROUND(SUMIF(RV_DATA!W58:'RV_DATA'!W72, 1505552583, RV_DATA!I58:'RV_DATA'!I72), 6)</f>
        <v>7.4200000000000002E-2</v>
      </c>
      <c r="E60" s="65">
        <f>ROUND(RV_DATA!N70, 6)</f>
        <v>199.9</v>
      </c>
      <c r="F60" s="65">
        <f>ROUND(SUMIF(RV_DATA!W58:'RV_DATA'!W72, 1505552583, RV_DATA!O58:'RV_DATA'!O72), 6)</f>
        <v>14.17</v>
      </c>
      <c r="Q60">
        <v>2</v>
      </c>
    </row>
    <row r="61" spans="1:17" ht="27.6">
      <c r="A61" s="77" t="s">
        <v>226</v>
      </c>
      <c r="B61" s="38" t="s">
        <v>228</v>
      </c>
      <c r="C61" s="38" t="s">
        <v>177</v>
      </c>
      <c r="D61" s="39">
        <f>ROUND(SUMIF(RV_DATA!W58:'RV_DATA'!W72, 1308690500, RV_DATA!I58:'RV_DATA'!I72), 6)</f>
        <v>0.1166</v>
      </c>
      <c r="E61" s="65">
        <f>ROUND(RV_DATA!N69, 6)</f>
        <v>76.430000000000007</v>
      </c>
      <c r="F61" s="65">
        <f>ROUND(SUMIF(RV_DATA!W58:'RV_DATA'!W72, 1308690500, RV_DATA!O58:'RV_DATA'!O72), 6)</f>
        <v>8.51</v>
      </c>
      <c r="Q61">
        <v>2</v>
      </c>
    </row>
    <row r="62" spans="1:17" ht="27.6">
      <c r="A62" s="77" t="s">
        <v>184</v>
      </c>
      <c r="B62" s="38" t="s">
        <v>186</v>
      </c>
      <c r="C62" s="38" t="s">
        <v>177</v>
      </c>
      <c r="D62" s="39">
        <f>ROUND(SUMIF(RV_DATA!W58:'RV_DATA'!W72, -1622304940, RV_DATA!I58:'RV_DATA'!I72), 6)</f>
        <v>1.7596000000000001E-2</v>
      </c>
      <c r="E62" s="65">
        <f>ROUND(RV_DATA!N62, 6)</f>
        <v>65.930000000000007</v>
      </c>
      <c r="F62" s="65">
        <f>ROUND(SUMIF(RV_DATA!W58:'RV_DATA'!W72, -1622304940, RV_DATA!O58:'RV_DATA'!O72), 6)</f>
        <v>1.1100000000000001</v>
      </c>
      <c r="Q62">
        <v>2</v>
      </c>
    </row>
    <row r="63" spans="1:17" ht="27.6">
      <c r="A63" s="77" t="s">
        <v>187</v>
      </c>
      <c r="B63" s="38" t="s">
        <v>189</v>
      </c>
      <c r="C63" s="38" t="s">
        <v>177</v>
      </c>
      <c r="D63" s="39">
        <f>ROUND(SUMIF(RV_DATA!W58:'RV_DATA'!W72, 1449392439, RV_DATA!I58:'RV_DATA'!I72), 6)</f>
        <v>6.8900000000000003E-3</v>
      </c>
      <c r="E63" s="65">
        <f>ROUND(RV_DATA!N61, 6)</f>
        <v>147.19</v>
      </c>
      <c r="F63" s="65">
        <f>ROUND(SUMIF(RV_DATA!W58:'RV_DATA'!W72, 1449392439, RV_DATA!O58:'RV_DATA'!O72), 6)</f>
        <v>0.97</v>
      </c>
      <c r="Q63">
        <v>2</v>
      </c>
    </row>
    <row r="64" spans="1:17" ht="27.6">
      <c r="A64" s="77" t="s">
        <v>190</v>
      </c>
      <c r="B64" s="38" t="s">
        <v>192</v>
      </c>
      <c r="C64" s="38" t="s">
        <v>177</v>
      </c>
      <c r="D64" s="39">
        <f>ROUND(SUMIF(RV_DATA!W58:'RV_DATA'!W72, -796572181, RV_DATA!I58:'RV_DATA'!I72), 6)</f>
        <v>1.643E-2</v>
      </c>
      <c r="E64" s="65">
        <f>ROUND(RV_DATA!N60, 6)</f>
        <v>131.01</v>
      </c>
      <c r="F64" s="65">
        <f>ROUND(SUMIF(RV_DATA!W58:'RV_DATA'!W72, -796572181, RV_DATA!O58:'RV_DATA'!O72), 6)</f>
        <v>2.06</v>
      </c>
      <c r="Q64">
        <v>2</v>
      </c>
    </row>
    <row r="65" spans="1:17" ht="27.6">
      <c r="A65" s="77" t="s">
        <v>193</v>
      </c>
      <c r="B65" s="38" t="s">
        <v>195</v>
      </c>
      <c r="C65" s="38" t="s">
        <v>177</v>
      </c>
      <c r="D65" s="39">
        <f>ROUND(SUMIF(RV_DATA!W58:'RV_DATA'!W72, -1459739079, RV_DATA!I58:'RV_DATA'!I72), 6)</f>
        <v>5.5120000000000004E-3</v>
      </c>
      <c r="E65" s="65">
        <f>ROUND(RV_DATA!N59, 6)</f>
        <v>186.39</v>
      </c>
      <c r="F65" s="65">
        <f>ROUND(SUMIF(RV_DATA!W58:'RV_DATA'!W72, -1459739079, RV_DATA!O58:'RV_DATA'!O72), 6)</f>
        <v>0.98</v>
      </c>
      <c r="Q65">
        <v>2</v>
      </c>
    </row>
    <row r="66" spans="1:17" ht="13.8">
      <c r="A66" s="121" t="s">
        <v>369</v>
      </c>
      <c r="B66" s="121"/>
      <c r="C66" s="121"/>
      <c r="D66" s="121"/>
      <c r="E66" s="122">
        <f>SUMIF(Q58:Q65, 2, F58:F65)</f>
        <v>35.559999999999995</v>
      </c>
      <c r="F66" s="121"/>
    </row>
    <row r="67" spans="1:17" ht="13.8">
      <c r="A67" s="119" t="s">
        <v>370</v>
      </c>
      <c r="B67" s="120"/>
      <c r="C67" s="120"/>
      <c r="D67" s="120"/>
      <c r="E67" s="120"/>
      <c r="F67" s="120"/>
    </row>
    <row r="68" spans="1:17" ht="13.8">
      <c r="A68" s="77" t="s">
        <v>196</v>
      </c>
      <c r="B68" s="38" t="s">
        <v>198</v>
      </c>
      <c r="C68" s="38" t="s">
        <v>47</v>
      </c>
      <c r="D68" s="39">
        <f>ROUND(SUMIF(RV_DATA!W58:'RV_DATA'!W72, -1664650379, RV_DATA!I58:'RV_DATA'!I72), 6)</f>
        <v>5.2999999999999999E-2</v>
      </c>
      <c r="E68" s="65">
        <f>ROUND(RV_DATA!N58, 6)</f>
        <v>7.08</v>
      </c>
      <c r="F68" s="65">
        <f>ROUND(SUMIF(RV_DATA!W58:'RV_DATA'!W72, -1664650379, RV_DATA!O58:'RV_DATA'!O72), 6)</f>
        <v>0.37</v>
      </c>
      <c r="Q68">
        <v>3</v>
      </c>
    </row>
    <row r="69" spans="1:17" ht="13.8">
      <c r="A69" s="77" t="s">
        <v>229</v>
      </c>
      <c r="B69" s="38" t="s">
        <v>231</v>
      </c>
      <c r="C69" s="38" t="s">
        <v>67</v>
      </c>
      <c r="D69" s="39">
        <f>ROUND(SUMIF(RV_DATA!W58:'RV_DATA'!W72, -1683528276, RV_DATA!I58:'RV_DATA'!I72), 6)</f>
        <v>5.2999999999999998E-4</v>
      </c>
      <c r="E69" s="65">
        <f>ROUND(RV_DATA!N68, 6)</f>
        <v>6717.06</v>
      </c>
      <c r="F69" s="65">
        <f>ROUND(SUMIF(RV_DATA!W58:'RV_DATA'!W72, -1683528276, RV_DATA!O58:'RV_DATA'!O72), 6)</f>
        <v>3.46</v>
      </c>
      <c r="Q69">
        <v>3</v>
      </c>
    </row>
    <row r="70" spans="1:17" ht="27.6">
      <c r="A70" s="77" t="s">
        <v>232</v>
      </c>
      <c r="B70" s="38" t="s">
        <v>234</v>
      </c>
      <c r="C70" s="38" t="s">
        <v>47</v>
      </c>
      <c r="D70" s="39">
        <f>ROUND(SUMIF(RV_DATA!W58:'RV_DATA'!W72, -1046223330, RV_DATA!I58:'RV_DATA'!I72), 6)</f>
        <v>9.01E-2</v>
      </c>
      <c r="E70" s="65">
        <f>ROUND(RV_DATA!N67, 6)</f>
        <v>1883.42</v>
      </c>
      <c r="F70" s="65">
        <f>ROUND(SUMIF(RV_DATA!W58:'RV_DATA'!W72, -1046223330, RV_DATA!O58:'RV_DATA'!O72), 6)</f>
        <v>164.76</v>
      </c>
      <c r="Q70">
        <v>3</v>
      </c>
    </row>
    <row r="71" spans="1:17" ht="13.8">
      <c r="A71" s="77" t="s">
        <v>45</v>
      </c>
      <c r="B71" s="38" t="s">
        <v>46</v>
      </c>
      <c r="C71" s="38" t="s">
        <v>47</v>
      </c>
      <c r="D71" s="39">
        <f>ROUND(SUMIF(RV_DATA!W58:'RV_DATA'!W72, 1615926593, RV_DATA!I58:'RV_DATA'!I72), 6)</f>
        <v>1.1659999999999999</v>
      </c>
      <c r="E71" s="65">
        <f>ROUND(RV_DATA!N64, 6)</f>
        <v>552.24739999999997</v>
      </c>
      <c r="F71" s="65">
        <f>ROUND(SUMIF(RV_DATA!W58:'RV_DATA'!W72, 1615926593, RV_DATA!O58:'RV_DATA'!O72), 6)</f>
        <v>643.91999999999996</v>
      </c>
      <c r="Q71">
        <v>3</v>
      </c>
    </row>
    <row r="72" spans="1:17" ht="55.2">
      <c r="A72" s="77" t="s">
        <v>235</v>
      </c>
      <c r="B72" s="38" t="s">
        <v>237</v>
      </c>
      <c r="C72" s="38" t="s">
        <v>47</v>
      </c>
      <c r="D72" s="39">
        <f>ROUND(SUMIF(RV_DATA!W58:'RV_DATA'!W72, 1212485417, RV_DATA!I58:'RV_DATA'!I72), 6)</f>
        <v>2.544</v>
      </c>
      <c r="E72" s="65">
        <f>ROUND(RV_DATA!N66, 6)</f>
        <v>726.04</v>
      </c>
      <c r="F72" s="65">
        <f>ROUND(SUMIF(RV_DATA!W58:'RV_DATA'!W72, 1212485417, RV_DATA!O58:'RV_DATA'!O72), 6)</f>
        <v>1793.24</v>
      </c>
      <c r="Q72">
        <v>3</v>
      </c>
    </row>
    <row r="73" spans="1:17" ht="13.8">
      <c r="A73" s="77" t="s">
        <v>238</v>
      </c>
      <c r="B73" s="38" t="s">
        <v>240</v>
      </c>
      <c r="C73" s="38" t="s">
        <v>47</v>
      </c>
      <c r="D73" s="39">
        <f>ROUND(SUMIF(RV_DATA!W58:'RV_DATA'!W72, 844037301, RV_DATA!I58:'RV_DATA'!I72), 6)</f>
        <v>1.06E-2</v>
      </c>
      <c r="E73" s="65">
        <f>ROUND(RV_DATA!N65, 6)</f>
        <v>464.67</v>
      </c>
      <c r="F73" s="65">
        <f>ROUND(SUMIF(RV_DATA!W58:'RV_DATA'!W72, 844037301, RV_DATA!O58:'RV_DATA'!O72), 6)</f>
        <v>4.78</v>
      </c>
      <c r="Q73">
        <v>3</v>
      </c>
    </row>
    <row r="74" spans="1:17" ht="27.6">
      <c r="A74" s="77" t="s">
        <v>163</v>
      </c>
      <c r="B74" s="38" t="s">
        <v>164</v>
      </c>
      <c r="C74" s="38" t="s">
        <v>47</v>
      </c>
      <c r="D74" s="39">
        <f>ROUND(SUMIF(RV_DATA!W58:'RV_DATA'!W72, 419291765, RV_DATA!I58:'RV_DATA'!I72), 6)</f>
        <v>1.537E-3</v>
      </c>
      <c r="E74" s="65">
        <f>ROUND(RV_DATA!N72, 6)</f>
        <v>9017.9838</v>
      </c>
      <c r="F74" s="65">
        <f>ROUND(SUMIF(RV_DATA!W58:'RV_DATA'!W72, 419291765, RV_DATA!O58:'RV_DATA'!O72), 6)</f>
        <v>13.86</v>
      </c>
      <c r="Q74">
        <v>3</v>
      </c>
    </row>
    <row r="75" spans="1:17" ht="13.8">
      <c r="A75" s="121" t="s">
        <v>371</v>
      </c>
      <c r="B75" s="121"/>
      <c r="C75" s="121"/>
      <c r="D75" s="121"/>
      <c r="E75" s="122">
        <f>SUMIF(Q68:Q74, 3, F68:F74)</f>
        <v>2624.3900000000003</v>
      </c>
      <c r="F75" s="121"/>
    </row>
    <row r="76" spans="1:17" ht="16.8">
      <c r="A76" s="123" t="str">
        <f>CONCATENATE("Раздел: ",IF(Source!G156&lt;&gt;"Новый раздел", Source!G156, ""))</f>
        <v xml:space="preserve">Раздел: </v>
      </c>
      <c r="B76" s="124"/>
      <c r="C76" s="124"/>
      <c r="D76" s="124"/>
      <c r="E76" s="124"/>
      <c r="F76" s="124"/>
    </row>
  </sheetData>
  <sortState ref="A68:R74">
    <sortCondition ref="A68"/>
  </sortState>
  <mergeCells count="30">
    <mergeCell ref="A22:F22"/>
    <mergeCell ref="A2:F2"/>
    <mergeCell ref="A3:F3"/>
    <mergeCell ref="A4:A6"/>
    <mergeCell ref="B4:B6"/>
    <mergeCell ref="C4:C6"/>
    <mergeCell ref="D4:D6"/>
    <mergeCell ref="E4:F5"/>
    <mergeCell ref="A8:F8"/>
    <mergeCell ref="A9:F9"/>
    <mergeCell ref="A10:F10"/>
    <mergeCell ref="A21:D21"/>
    <mergeCell ref="E21:F21"/>
    <mergeCell ref="A28:D28"/>
    <mergeCell ref="E28:F28"/>
    <mergeCell ref="A29:F29"/>
    <mergeCell ref="A30:F30"/>
    <mergeCell ref="A46:D46"/>
    <mergeCell ref="E46:F46"/>
    <mergeCell ref="A67:F67"/>
    <mergeCell ref="A75:D75"/>
    <mergeCell ref="E75:F75"/>
    <mergeCell ref="A76:F76"/>
    <mergeCell ref="A47:F47"/>
    <mergeCell ref="A55:D55"/>
    <mergeCell ref="E55:F55"/>
    <mergeCell ref="A56:F56"/>
    <mergeCell ref="A57:F57"/>
    <mergeCell ref="A66:D66"/>
    <mergeCell ref="E66:F66"/>
  </mergeCells>
  <pageMargins left="0.6" right="0.4" top="0.65" bottom="0.4" header="0.4" footer="0.4"/>
  <pageSetup paperSize="9" scale="96" fitToHeight="0" orientation="portrait" verticalDpi="0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K258"/>
  <sheetViews>
    <sheetView workbookViewId="0">
      <selection activeCell="A254" sqref="A254:AA254"/>
    </sheetView>
  </sheetViews>
  <sheetFormatPr defaultColWidth="9.109375" defaultRowHeight="13.2"/>
  <cols>
    <col min="1" max="256" width="9.109375" customWidth="1"/>
  </cols>
  <sheetData>
    <row r="1" spans="1:133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0</v>
      </c>
      <c r="L1">
        <v>35366</v>
      </c>
      <c r="M1">
        <v>10</v>
      </c>
      <c r="N1">
        <v>11</v>
      </c>
      <c r="O1">
        <v>0</v>
      </c>
      <c r="P1">
        <v>0</v>
      </c>
      <c r="Q1">
        <v>6</v>
      </c>
    </row>
    <row r="12" spans="1:133">
      <c r="A12" s="1">
        <v>1</v>
      </c>
      <c r="B12" s="1">
        <v>253</v>
      </c>
      <c r="C12" s="1">
        <v>0</v>
      </c>
      <c r="D12" s="1">
        <f>ROW(A218)</f>
        <v>218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157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11</v>
      </c>
      <c r="CF12" s="1">
        <v>0</v>
      </c>
      <c r="CG12" s="1">
        <v>0</v>
      </c>
      <c r="CH12" s="1">
        <v>17113096</v>
      </c>
      <c r="CI12" s="1" t="s">
        <v>3</v>
      </c>
      <c r="CJ12" s="1" t="s">
        <v>3</v>
      </c>
      <c r="CK12" s="1">
        <v>58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>
      <c r="A18" s="2">
        <v>52</v>
      </c>
      <c r="B18" s="2">
        <f t="shared" ref="B18:G18" si="0">B218</f>
        <v>253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Таганка Корт СМР</v>
      </c>
      <c r="H18" s="2"/>
      <c r="I18" s="2"/>
      <c r="J18" s="2"/>
      <c r="K18" s="2"/>
      <c r="L18" s="2"/>
      <c r="M18" s="2"/>
      <c r="N18" s="2"/>
      <c r="O18" s="2">
        <f t="shared" ref="O18:AT18" si="1">O218</f>
        <v>695052.32</v>
      </c>
      <c r="P18" s="2">
        <f t="shared" si="1"/>
        <v>549852.82999999996</v>
      </c>
      <c r="Q18" s="2">
        <f t="shared" si="1"/>
        <v>69417.320000000007</v>
      </c>
      <c r="R18" s="2">
        <f t="shared" si="1"/>
        <v>36550.68</v>
      </c>
      <c r="S18" s="2">
        <f t="shared" si="1"/>
        <v>75782.17</v>
      </c>
      <c r="T18" s="2">
        <f t="shared" si="1"/>
        <v>0</v>
      </c>
      <c r="U18" s="2">
        <f t="shared" si="1"/>
        <v>276.50950918400002</v>
      </c>
      <c r="V18" s="2">
        <f t="shared" si="1"/>
        <v>0</v>
      </c>
      <c r="W18" s="2">
        <f t="shared" si="1"/>
        <v>0</v>
      </c>
      <c r="X18" s="2">
        <f t="shared" si="1"/>
        <v>81716.350000000006</v>
      </c>
      <c r="Y18" s="2">
        <f t="shared" si="1"/>
        <v>33726.339999999997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867879.57</v>
      </c>
      <c r="AS18" s="2">
        <f t="shared" si="1"/>
        <v>867879.57</v>
      </c>
      <c r="AT18" s="2">
        <f t="shared" si="1"/>
        <v>0</v>
      </c>
      <c r="AU18" s="2">
        <f t="shared" ref="AU18:BZ18" si="2">AU218</f>
        <v>0</v>
      </c>
      <c r="AV18" s="2">
        <f t="shared" si="2"/>
        <v>549852.82999999996</v>
      </c>
      <c r="AW18" s="2">
        <f t="shared" si="2"/>
        <v>549852.82999999996</v>
      </c>
      <c r="AX18" s="2">
        <f t="shared" si="2"/>
        <v>0</v>
      </c>
      <c r="AY18" s="2">
        <f t="shared" si="2"/>
        <v>549852.82999999996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CA218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DG218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EM218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FS218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>
      <c r="A20" s="1">
        <v>3</v>
      </c>
      <c r="B20" s="1">
        <v>1</v>
      </c>
      <c r="C20" s="1"/>
      <c r="D20" s="1">
        <f>ROW(A188)</f>
        <v>188</v>
      </c>
      <c r="E20" s="1"/>
      <c r="F20" s="1" t="s">
        <v>12</v>
      </c>
      <c r="G20" s="1" t="s">
        <v>12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  <c r="CK20" t="s">
        <v>3</v>
      </c>
      <c r="CL20" t="s">
        <v>3</v>
      </c>
      <c r="CM20" t="s">
        <v>3</v>
      </c>
      <c r="CN20" t="s">
        <v>3</v>
      </c>
      <c r="CO20" t="s">
        <v>3</v>
      </c>
      <c r="CP20" t="s">
        <v>3</v>
      </c>
    </row>
    <row r="22" spans="1:245">
      <c r="A22" s="2">
        <v>52</v>
      </c>
      <c r="B22" s="2">
        <f t="shared" ref="B22:G22" si="7">B188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Новая локальная смета</v>
      </c>
      <c r="G22" s="2" t="str">
        <f t="shared" si="7"/>
        <v>Новая локальная смета</v>
      </c>
      <c r="H22" s="2"/>
      <c r="I22" s="2"/>
      <c r="J22" s="2"/>
      <c r="K22" s="2"/>
      <c r="L22" s="2"/>
      <c r="M22" s="2"/>
      <c r="N22" s="2"/>
      <c r="O22" s="2">
        <f t="shared" ref="O22:AT22" si="8">O188</f>
        <v>695052.32</v>
      </c>
      <c r="P22" s="2">
        <f t="shared" si="8"/>
        <v>549852.82999999996</v>
      </c>
      <c r="Q22" s="2">
        <f t="shared" si="8"/>
        <v>69417.320000000007</v>
      </c>
      <c r="R22" s="2">
        <f t="shared" si="8"/>
        <v>36550.68</v>
      </c>
      <c r="S22" s="2">
        <f t="shared" si="8"/>
        <v>75782.17</v>
      </c>
      <c r="T22" s="2">
        <f t="shared" si="8"/>
        <v>0</v>
      </c>
      <c r="U22" s="2">
        <f t="shared" si="8"/>
        <v>276.50950918400002</v>
      </c>
      <c r="V22" s="2">
        <f t="shared" si="8"/>
        <v>0</v>
      </c>
      <c r="W22" s="2">
        <f t="shared" si="8"/>
        <v>0</v>
      </c>
      <c r="X22" s="2">
        <f t="shared" si="8"/>
        <v>81716.350000000006</v>
      </c>
      <c r="Y22" s="2">
        <f t="shared" si="8"/>
        <v>33726.339999999997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0</v>
      </c>
      <c r="AG22" s="2">
        <f t="shared" si="8"/>
        <v>0</v>
      </c>
      <c r="AH22" s="2">
        <f t="shared" si="8"/>
        <v>0</v>
      </c>
      <c r="AI22" s="2">
        <f t="shared" si="8"/>
        <v>0</v>
      </c>
      <c r="AJ22" s="2">
        <f t="shared" si="8"/>
        <v>0</v>
      </c>
      <c r="AK22" s="2">
        <f t="shared" si="8"/>
        <v>0</v>
      </c>
      <c r="AL22" s="2">
        <f t="shared" si="8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867879.57</v>
      </c>
      <c r="AS22" s="2">
        <f t="shared" si="8"/>
        <v>867879.57</v>
      </c>
      <c r="AT22" s="2">
        <f t="shared" si="8"/>
        <v>0</v>
      </c>
      <c r="AU22" s="2">
        <f t="shared" ref="AU22:BZ22" si="9">AU188</f>
        <v>0</v>
      </c>
      <c r="AV22" s="2">
        <f t="shared" si="9"/>
        <v>549852.82999999996</v>
      </c>
      <c r="AW22" s="2">
        <f t="shared" si="9"/>
        <v>549852.82999999996</v>
      </c>
      <c r="AX22" s="2">
        <f t="shared" si="9"/>
        <v>0</v>
      </c>
      <c r="AY22" s="2">
        <f t="shared" si="9"/>
        <v>549852.82999999996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CA188</f>
        <v>0</v>
      </c>
      <c r="CB22" s="2">
        <f t="shared" si="10"/>
        <v>0</v>
      </c>
      <c r="CC22" s="2">
        <f t="shared" si="10"/>
        <v>0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DG188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EM188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FS188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>
      <c r="A24" s="1">
        <v>4</v>
      </c>
      <c r="B24" s="1">
        <v>1</v>
      </c>
      <c r="C24" s="1"/>
      <c r="D24" s="1">
        <f>ROW(A39)</f>
        <v>39</v>
      </c>
      <c r="E24" s="1"/>
      <c r="F24" s="1" t="s">
        <v>13</v>
      </c>
      <c r="G24" s="1" t="s">
        <v>14</v>
      </c>
      <c r="H24" s="1" t="s">
        <v>3</v>
      </c>
      <c r="I24" s="1">
        <v>0</v>
      </c>
      <c r="J24" s="1"/>
      <c r="K24" s="1">
        <v>-1</v>
      </c>
      <c r="L24" s="1"/>
      <c r="M24" s="1"/>
      <c r="N24" s="1"/>
      <c r="O24" s="1"/>
      <c r="P24" s="1"/>
      <c r="Q24" s="1"/>
      <c r="R24" s="1"/>
      <c r="S24" s="1"/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45">
      <c r="A26" s="2">
        <v>52</v>
      </c>
      <c r="B26" s="2">
        <f t="shared" ref="B26:G26" si="14">B39</f>
        <v>1</v>
      </c>
      <c r="C26" s="2">
        <f t="shared" si="14"/>
        <v>4</v>
      </c>
      <c r="D26" s="2">
        <f t="shared" si="14"/>
        <v>24</v>
      </c>
      <c r="E26" s="2">
        <f t="shared" si="14"/>
        <v>0</v>
      </c>
      <c r="F26" s="2" t="str">
        <f t="shared" si="14"/>
        <v>Новый раздел</v>
      </c>
      <c r="G26" s="2" t="str">
        <f t="shared" si="14"/>
        <v>10.1. Устройство новых оснований площадок (Корт)</v>
      </c>
      <c r="H26" s="2"/>
      <c r="I26" s="2"/>
      <c r="J26" s="2"/>
      <c r="K26" s="2"/>
      <c r="L26" s="2"/>
      <c r="M26" s="2"/>
      <c r="N26" s="2"/>
      <c r="O26" s="2">
        <f t="shared" ref="O26:AT26" si="15">O39</f>
        <v>533250.52</v>
      </c>
      <c r="P26" s="2">
        <f t="shared" si="15"/>
        <v>433648.88</v>
      </c>
      <c r="Q26" s="2">
        <f t="shared" si="15"/>
        <v>61713.66</v>
      </c>
      <c r="R26" s="2">
        <f t="shared" si="15"/>
        <v>32908.089999999997</v>
      </c>
      <c r="S26" s="2">
        <f t="shared" si="15"/>
        <v>37887.980000000003</v>
      </c>
      <c r="T26" s="2">
        <f t="shared" si="15"/>
        <v>0</v>
      </c>
      <c r="U26" s="2">
        <f t="shared" si="15"/>
        <v>137.86176438400003</v>
      </c>
      <c r="V26" s="2">
        <f t="shared" si="15"/>
        <v>0</v>
      </c>
      <c r="W26" s="2">
        <f t="shared" si="15"/>
        <v>0</v>
      </c>
      <c r="X26" s="2">
        <f t="shared" si="15"/>
        <v>39541.54</v>
      </c>
      <c r="Y26" s="2">
        <f t="shared" si="15"/>
        <v>16829.61</v>
      </c>
      <c r="Z26" s="2">
        <f t="shared" si="15"/>
        <v>0</v>
      </c>
      <c r="AA26" s="2">
        <f t="shared" si="15"/>
        <v>0</v>
      </c>
      <c r="AB26" s="2">
        <f t="shared" si="15"/>
        <v>533250.52</v>
      </c>
      <c r="AC26" s="2">
        <f t="shared" si="15"/>
        <v>433648.88</v>
      </c>
      <c r="AD26" s="2">
        <f t="shared" si="15"/>
        <v>61713.66</v>
      </c>
      <c r="AE26" s="2">
        <f t="shared" si="15"/>
        <v>32908.089999999997</v>
      </c>
      <c r="AF26" s="2">
        <f t="shared" si="15"/>
        <v>37887.980000000003</v>
      </c>
      <c r="AG26" s="2">
        <f t="shared" si="15"/>
        <v>0</v>
      </c>
      <c r="AH26" s="2">
        <f t="shared" si="15"/>
        <v>137.86176438400003</v>
      </c>
      <c r="AI26" s="2">
        <f t="shared" si="15"/>
        <v>0</v>
      </c>
      <c r="AJ26" s="2">
        <f t="shared" si="15"/>
        <v>0</v>
      </c>
      <c r="AK26" s="2">
        <f t="shared" si="15"/>
        <v>39541.54</v>
      </c>
      <c r="AL26" s="2">
        <f t="shared" si="15"/>
        <v>16829.61</v>
      </c>
      <c r="AM26" s="2">
        <f t="shared" si="15"/>
        <v>0</v>
      </c>
      <c r="AN26" s="2">
        <f t="shared" si="15"/>
        <v>0</v>
      </c>
      <c r="AO26" s="2">
        <f t="shared" si="15"/>
        <v>0</v>
      </c>
      <c r="AP26" s="2">
        <f t="shared" si="15"/>
        <v>0</v>
      </c>
      <c r="AQ26" s="2">
        <f t="shared" si="15"/>
        <v>0</v>
      </c>
      <c r="AR26" s="2">
        <f t="shared" si="15"/>
        <v>641287.38</v>
      </c>
      <c r="AS26" s="2">
        <f t="shared" si="15"/>
        <v>641287.38</v>
      </c>
      <c r="AT26" s="2">
        <f t="shared" si="15"/>
        <v>0</v>
      </c>
      <c r="AU26" s="2">
        <f t="shared" ref="AU26:BZ26" si="16">AU39</f>
        <v>0</v>
      </c>
      <c r="AV26" s="2">
        <f t="shared" si="16"/>
        <v>433648.88</v>
      </c>
      <c r="AW26" s="2">
        <f t="shared" si="16"/>
        <v>433648.88</v>
      </c>
      <c r="AX26" s="2">
        <f t="shared" si="16"/>
        <v>0</v>
      </c>
      <c r="AY26" s="2">
        <f t="shared" si="16"/>
        <v>433648.88</v>
      </c>
      <c r="AZ26" s="2">
        <f t="shared" si="16"/>
        <v>0</v>
      </c>
      <c r="BA26" s="2">
        <f t="shared" si="16"/>
        <v>0</v>
      </c>
      <c r="BB26" s="2">
        <f t="shared" si="16"/>
        <v>0</v>
      </c>
      <c r="BC26" s="2">
        <f t="shared" si="16"/>
        <v>0</v>
      </c>
      <c r="BD26" s="2">
        <f t="shared" si="16"/>
        <v>0</v>
      </c>
      <c r="BE26" s="2">
        <f t="shared" si="16"/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 t="shared" si="16"/>
        <v>0</v>
      </c>
      <c r="BJ26" s="2">
        <f t="shared" si="16"/>
        <v>0</v>
      </c>
      <c r="BK26" s="2">
        <f t="shared" si="16"/>
        <v>0</v>
      </c>
      <c r="BL26" s="2">
        <f t="shared" si="16"/>
        <v>0</v>
      </c>
      <c r="BM26" s="2">
        <f t="shared" si="16"/>
        <v>0</v>
      </c>
      <c r="BN26" s="2">
        <f t="shared" si="16"/>
        <v>0</v>
      </c>
      <c r="BO26" s="2">
        <f t="shared" si="16"/>
        <v>0</v>
      </c>
      <c r="BP26" s="2">
        <f t="shared" si="16"/>
        <v>0</v>
      </c>
      <c r="BQ26" s="2">
        <f t="shared" si="16"/>
        <v>0</v>
      </c>
      <c r="BR26" s="2">
        <f t="shared" si="16"/>
        <v>0</v>
      </c>
      <c r="BS26" s="2">
        <f t="shared" si="16"/>
        <v>0</v>
      </c>
      <c r="BT26" s="2">
        <f t="shared" si="16"/>
        <v>0</v>
      </c>
      <c r="BU26" s="2">
        <f t="shared" si="16"/>
        <v>0</v>
      </c>
      <c r="BV26" s="2">
        <f t="shared" si="16"/>
        <v>0</v>
      </c>
      <c r="BW26" s="2">
        <f t="shared" si="16"/>
        <v>0</v>
      </c>
      <c r="BX26" s="2">
        <f t="shared" si="16"/>
        <v>0</v>
      </c>
      <c r="BY26" s="2">
        <f t="shared" si="16"/>
        <v>0</v>
      </c>
      <c r="BZ26" s="2">
        <f t="shared" si="16"/>
        <v>0</v>
      </c>
      <c r="CA26" s="2">
        <f t="shared" ref="CA26:DF26" si="17">CA39</f>
        <v>641287.38</v>
      </c>
      <c r="CB26" s="2">
        <f t="shared" si="17"/>
        <v>641287.38</v>
      </c>
      <c r="CC26" s="2">
        <f t="shared" si="17"/>
        <v>0</v>
      </c>
      <c r="CD26" s="2">
        <f t="shared" si="17"/>
        <v>0</v>
      </c>
      <c r="CE26" s="2">
        <f t="shared" si="17"/>
        <v>433648.88</v>
      </c>
      <c r="CF26" s="2">
        <f t="shared" si="17"/>
        <v>433648.88</v>
      </c>
      <c r="CG26" s="2">
        <f t="shared" si="17"/>
        <v>0</v>
      </c>
      <c r="CH26" s="2">
        <f t="shared" si="17"/>
        <v>433648.88</v>
      </c>
      <c r="CI26" s="2">
        <f t="shared" si="17"/>
        <v>0</v>
      </c>
      <c r="CJ26" s="2">
        <f t="shared" si="17"/>
        <v>0</v>
      </c>
      <c r="CK26" s="2">
        <f t="shared" si="17"/>
        <v>0</v>
      </c>
      <c r="CL26" s="2">
        <f t="shared" si="17"/>
        <v>0</v>
      </c>
      <c r="CM26" s="2">
        <f t="shared" si="17"/>
        <v>0</v>
      </c>
      <c r="CN26" s="2">
        <f t="shared" si="17"/>
        <v>0</v>
      </c>
      <c r="CO26" s="2">
        <f t="shared" si="17"/>
        <v>0</v>
      </c>
      <c r="CP26" s="2">
        <f t="shared" si="17"/>
        <v>0</v>
      </c>
      <c r="CQ26" s="2">
        <f t="shared" si="17"/>
        <v>0</v>
      </c>
      <c r="CR26" s="2">
        <f t="shared" si="17"/>
        <v>0</v>
      </c>
      <c r="CS26" s="2">
        <f t="shared" si="17"/>
        <v>0</v>
      </c>
      <c r="CT26" s="2">
        <f t="shared" si="17"/>
        <v>0</v>
      </c>
      <c r="CU26" s="2">
        <f t="shared" si="17"/>
        <v>0</v>
      </c>
      <c r="CV26" s="2">
        <f t="shared" si="17"/>
        <v>0</v>
      </c>
      <c r="CW26" s="2">
        <f t="shared" si="17"/>
        <v>0</v>
      </c>
      <c r="CX26" s="2">
        <f t="shared" si="17"/>
        <v>0</v>
      </c>
      <c r="CY26" s="2">
        <f t="shared" si="17"/>
        <v>0</v>
      </c>
      <c r="CZ26" s="2">
        <f t="shared" si="17"/>
        <v>0</v>
      </c>
      <c r="DA26" s="2">
        <f t="shared" si="17"/>
        <v>0</v>
      </c>
      <c r="DB26" s="2">
        <f t="shared" si="17"/>
        <v>0</v>
      </c>
      <c r="DC26" s="2">
        <f t="shared" si="17"/>
        <v>0</v>
      </c>
      <c r="DD26" s="2">
        <f t="shared" si="17"/>
        <v>0</v>
      </c>
      <c r="DE26" s="2">
        <f t="shared" si="17"/>
        <v>0</v>
      </c>
      <c r="DF26" s="2">
        <f t="shared" si="17"/>
        <v>0</v>
      </c>
      <c r="DG26" s="3">
        <f t="shared" ref="DG26:EL26" si="18">DG39</f>
        <v>0</v>
      </c>
      <c r="DH26" s="3">
        <f t="shared" si="18"/>
        <v>0</v>
      </c>
      <c r="DI26" s="3">
        <f t="shared" si="18"/>
        <v>0</v>
      </c>
      <c r="DJ26" s="3">
        <f t="shared" si="18"/>
        <v>0</v>
      </c>
      <c r="DK26" s="3">
        <f t="shared" si="18"/>
        <v>0</v>
      </c>
      <c r="DL26" s="3">
        <f t="shared" si="18"/>
        <v>0</v>
      </c>
      <c r="DM26" s="3">
        <f t="shared" si="18"/>
        <v>0</v>
      </c>
      <c r="DN26" s="3">
        <f t="shared" si="18"/>
        <v>0</v>
      </c>
      <c r="DO26" s="3">
        <f t="shared" si="18"/>
        <v>0</v>
      </c>
      <c r="DP26" s="3">
        <f t="shared" si="18"/>
        <v>0</v>
      </c>
      <c r="DQ26" s="3">
        <f t="shared" si="18"/>
        <v>0</v>
      </c>
      <c r="DR26" s="3">
        <f t="shared" si="18"/>
        <v>0</v>
      </c>
      <c r="DS26" s="3">
        <f t="shared" si="18"/>
        <v>0</v>
      </c>
      <c r="DT26" s="3">
        <f t="shared" si="18"/>
        <v>0</v>
      </c>
      <c r="DU26" s="3">
        <f t="shared" si="18"/>
        <v>0</v>
      </c>
      <c r="DV26" s="3">
        <f t="shared" si="18"/>
        <v>0</v>
      </c>
      <c r="DW26" s="3">
        <f t="shared" si="18"/>
        <v>0</v>
      </c>
      <c r="DX26" s="3">
        <f t="shared" si="18"/>
        <v>0</v>
      </c>
      <c r="DY26" s="3">
        <f t="shared" si="18"/>
        <v>0</v>
      </c>
      <c r="DZ26" s="3">
        <f t="shared" si="18"/>
        <v>0</v>
      </c>
      <c r="EA26" s="3">
        <f t="shared" si="18"/>
        <v>0</v>
      </c>
      <c r="EB26" s="3">
        <f t="shared" si="18"/>
        <v>0</v>
      </c>
      <c r="EC26" s="3">
        <f t="shared" si="18"/>
        <v>0</v>
      </c>
      <c r="ED26" s="3">
        <f t="shared" si="18"/>
        <v>0</v>
      </c>
      <c r="EE26" s="3">
        <f t="shared" si="18"/>
        <v>0</v>
      </c>
      <c r="EF26" s="3">
        <f t="shared" si="18"/>
        <v>0</v>
      </c>
      <c r="EG26" s="3">
        <f t="shared" si="18"/>
        <v>0</v>
      </c>
      <c r="EH26" s="3">
        <f t="shared" si="18"/>
        <v>0</v>
      </c>
      <c r="EI26" s="3">
        <f t="shared" si="18"/>
        <v>0</v>
      </c>
      <c r="EJ26" s="3">
        <f t="shared" si="18"/>
        <v>0</v>
      </c>
      <c r="EK26" s="3">
        <f t="shared" si="18"/>
        <v>0</v>
      </c>
      <c r="EL26" s="3">
        <f t="shared" si="18"/>
        <v>0</v>
      </c>
      <c r="EM26" s="3">
        <f t="shared" ref="EM26:FR26" si="19">EM39</f>
        <v>0</v>
      </c>
      <c r="EN26" s="3">
        <f t="shared" si="19"/>
        <v>0</v>
      </c>
      <c r="EO26" s="3">
        <f t="shared" si="19"/>
        <v>0</v>
      </c>
      <c r="EP26" s="3">
        <f t="shared" si="19"/>
        <v>0</v>
      </c>
      <c r="EQ26" s="3">
        <f t="shared" si="19"/>
        <v>0</v>
      </c>
      <c r="ER26" s="3">
        <f t="shared" si="19"/>
        <v>0</v>
      </c>
      <c r="ES26" s="3">
        <f t="shared" si="19"/>
        <v>0</v>
      </c>
      <c r="ET26" s="3">
        <f t="shared" si="19"/>
        <v>0</v>
      </c>
      <c r="EU26" s="3">
        <f t="shared" si="19"/>
        <v>0</v>
      </c>
      <c r="EV26" s="3">
        <f t="shared" si="19"/>
        <v>0</v>
      </c>
      <c r="EW26" s="3">
        <f t="shared" si="19"/>
        <v>0</v>
      </c>
      <c r="EX26" s="3">
        <f t="shared" si="19"/>
        <v>0</v>
      </c>
      <c r="EY26" s="3">
        <f t="shared" si="19"/>
        <v>0</v>
      </c>
      <c r="EZ26" s="3">
        <f t="shared" si="19"/>
        <v>0</v>
      </c>
      <c r="FA26" s="3">
        <f t="shared" si="19"/>
        <v>0</v>
      </c>
      <c r="FB26" s="3">
        <f t="shared" si="19"/>
        <v>0</v>
      </c>
      <c r="FC26" s="3">
        <f t="shared" si="19"/>
        <v>0</v>
      </c>
      <c r="FD26" s="3">
        <f t="shared" si="19"/>
        <v>0</v>
      </c>
      <c r="FE26" s="3">
        <f t="shared" si="19"/>
        <v>0</v>
      </c>
      <c r="FF26" s="3">
        <f t="shared" si="19"/>
        <v>0</v>
      </c>
      <c r="FG26" s="3">
        <f t="shared" si="19"/>
        <v>0</v>
      </c>
      <c r="FH26" s="3">
        <f t="shared" si="19"/>
        <v>0</v>
      </c>
      <c r="FI26" s="3">
        <f t="shared" si="19"/>
        <v>0</v>
      </c>
      <c r="FJ26" s="3">
        <f t="shared" si="19"/>
        <v>0</v>
      </c>
      <c r="FK26" s="3">
        <f t="shared" si="19"/>
        <v>0</v>
      </c>
      <c r="FL26" s="3">
        <f t="shared" si="19"/>
        <v>0</v>
      </c>
      <c r="FM26" s="3">
        <f t="shared" si="19"/>
        <v>0</v>
      </c>
      <c r="FN26" s="3">
        <f t="shared" si="19"/>
        <v>0</v>
      </c>
      <c r="FO26" s="3">
        <f t="shared" si="19"/>
        <v>0</v>
      </c>
      <c r="FP26" s="3">
        <f t="shared" si="19"/>
        <v>0</v>
      </c>
      <c r="FQ26" s="3">
        <f t="shared" si="19"/>
        <v>0</v>
      </c>
      <c r="FR26" s="3">
        <f t="shared" si="19"/>
        <v>0</v>
      </c>
      <c r="FS26" s="3">
        <f t="shared" ref="FS26:GX26" si="20">FS39</f>
        <v>0</v>
      </c>
      <c r="FT26" s="3">
        <f t="shared" si="20"/>
        <v>0</v>
      </c>
      <c r="FU26" s="3">
        <f t="shared" si="20"/>
        <v>0</v>
      </c>
      <c r="FV26" s="3">
        <f t="shared" si="20"/>
        <v>0</v>
      </c>
      <c r="FW26" s="3">
        <f t="shared" si="20"/>
        <v>0</v>
      </c>
      <c r="FX26" s="3">
        <f t="shared" si="20"/>
        <v>0</v>
      </c>
      <c r="FY26" s="3">
        <f t="shared" si="20"/>
        <v>0</v>
      </c>
      <c r="FZ26" s="3">
        <f t="shared" si="20"/>
        <v>0</v>
      </c>
      <c r="GA26" s="3">
        <f t="shared" si="20"/>
        <v>0</v>
      </c>
      <c r="GB26" s="3">
        <f t="shared" si="20"/>
        <v>0</v>
      </c>
      <c r="GC26" s="3">
        <f t="shared" si="20"/>
        <v>0</v>
      </c>
      <c r="GD26" s="3">
        <f t="shared" si="20"/>
        <v>0</v>
      </c>
      <c r="GE26" s="3">
        <f t="shared" si="20"/>
        <v>0</v>
      </c>
      <c r="GF26" s="3">
        <f t="shared" si="20"/>
        <v>0</v>
      </c>
      <c r="GG26" s="3">
        <f t="shared" si="20"/>
        <v>0</v>
      </c>
      <c r="GH26" s="3">
        <f t="shared" si="20"/>
        <v>0</v>
      </c>
      <c r="GI26" s="3">
        <f t="shared" si="20"/>
        <v>0</v>
      </c>
      <c r="GJ26" s="3">
        <f t="shared" si="20"/>
        <v>0</v>
      </c>
      <c r="GK26" s="3">
        <f t="shared" si="20"/>
        <v>0</v>
      </c>
      <c r="GL26" s="3">
        <f t="shared" si="20"/>
        <v>0</v>
      </c>
      <c r="GM26" s="3">
        <f t="shared" si="20"/>
        <v>0</v>
      </c>
      <c r="GN26" s="3">
        <f t="shared" si="20"/>
        <v>0</v>
      </c>
      <c r="GO26" s="3">
        <f t="shared" si="20"/>
        <v>0</v>
      </c>
      <c r="GP26" s="3">
        <f t="shared" si="20"/>
        <v>0</v>
      </c>
      <c r="GQ26" s="3">
        <f t="shared" si="20"/>
        <v>0</v>
      </c>
      <c r="GR26" s="3">
        <f t="shared" si="20"/>
        <v>0</v>
      </c>
      <c r="GS26" s="3">
        <f t="shared" si="20"/>
        <v>0</v>
      </c>
      <c r="GT26" s="3">
        <f t="shared" si="20"/>
        <v>0</v>
      </c>
      <c r="GU26" s="3">
        <f t="shared" si="20"/>
        <v>0</v>
      </c>
      <c r="GV26" s="3">
        <f t="shared" si="20"/>
        <v>0</v>
      </c>
      <c r="GW26" s="3">
        <f t="shared" si="20"/>
        <v>0</v>
      </c>
      <c r="GX26" s="3">
        <f t="shared" si="20"/>
        <v>0</v>
      </c>
    </row>
    <row r="28" spans="1:245">
      <c r="A28">
        <v>17</v>
      </c>
      <c r="B28">
        <v>1</v>
      </c>
      <c r="C28">
        <f>ROW(SmtRes!A3)</f>
        <v>3</v>
      </c>
      <c r="D28">
        <f>ROW(EtalonRes!A3)</f>
        <v>3</v>
      </c>
      <c r="E28" t="s">
        <v>15</v>
      </c>
      <c r="F28" t="s">
        <v>16</v>
      </c>
      <c r="G28" t="s">
        <v>17</v>
      </c>
      <c r="H28" t="s">
        <v>18</v>
      </c>
      <c r="I28">
        <f>ROUND(562.4/100*0.42*0.9,9)</f>
        <v>2.1258720000000002</v>
      </c>
      <c r="J28">
        <v>0</v>
      </c>
      <c r="O28">
        <f t="shared" ref="O28:O37" si="21">ROUND(CP28,2)</f>
        <v>16494.060000000001</v>
      </c>
      <c r="P28">
        <f t="shared" ref="P28:P37" si="22">ROUND((ROUND((AC28*AW28*I28),2)*BC28),2)</f>
        <v>0</v>
      </c>
      <c r="Q28">
        <f t="shared" ref="Q28:Q37" si="23">(ROUND((ROUND(((ET28)*AV28*I28),2)*BB28),2)+ROUND((ROUND(((AE28-(EU28))*AV28*I28),2)*BS28),2))</f>
        <v>15750.2</v>
      </c>
      <c r="R28">
        <f t="shared" ref="R28:R37" si="24">ROUND((ROUND((AE28*AV28*I28),2)*BS28),2)</f>
        <v>7412.24</v>
      </c>
      <c r="S28">
        <f t="shared" ref="S28:S37" si="25">ROUND((ROUND((AF28*AV28*I28),2)*BA28),2)</f>
        <v>743.86</v>
      </c>
      <c r="T28">
        <f t="shared" ref="T28:T37" si="26">ROUND(CU28*I28,2)</f>
        <v>0</v>
      </c>
      <c r="U28">
        <f t="shared" ref="U28:U37" si="27">CV28*I28</f>
        <v>2.93370336</v>
      </c>
      <c r="V28">
        <f t="shared" ref="V28:V37" si="28">CW28*I28</f>
        <v>0</v>
      </c>
      <c r="W28">
        <f t="shared" ref="W28:W37" si="29">ROUND(CX28*I28,2)</f>
        <v>0</v>
      </c>
      <c r="X28">
        <f t="shared" ref="X28:X37" si="30">ROUND(CY28,2)</f>
        <v>684.35</v>
      </c>
      <c r="Y28">
        <f t="shared" ref="Y28:Y37" si="31">ROUND(CZ28,2)</f>
        <v>371.93</v>
      </c>
      <c r="AA28">
        <v>33985563</v>
      </c>
      <c r="AB28">
        <f t="shared" ref="AB28:AB37" si="32">ROUND((AC28+AD28+AF28),6)</f>
        <v>771.65</v>
      </c>
      <c r="AC28">
        <f t="shared" ref="AC28:AC37" si="33">ROUND((ES28),6)</f>
        <v>0</v>
      </c>
      <c r="AD28">
        <f t="shared" ref="AD28:AD37" si="34">ROUND((((ET28)-(EU28))+AE28),6)</f>
        <v>757.55</v>
      </c>
      <c r="AE28">
        <f t="shared" ref="AE28:AE37" si="35">ROUND((EU28),6)</f>
        <v>140.47999999999999</v>
      </c>
      <c r="AF28">
        <f t="shared" ref="AF28:AF37" si="36">ROUND((EV28),6)</f>
        <v>14.1</v>
      </c>
      <c r="AG28">
        <f t="shared" ref="AG28:AG37" si="37">ROUND((AP28),6)</f>
        <v>0</v>
      </c>
      <c r="AH28">
        <f t="shared" ref="AH28:AH37" si="38">(EW28)</f>
        <v>1.38</v>
      </c>
      <c r="AI28">
        <f t="shared" ref="AI28:AI37" si="39">(EX28)</f>
        <v>0</v>
      </c>
      <c r="AJ28">
        <f t="shared" ref="AJ28:AJ37" si="40">(AS28)</f>
        <v>0</v>
      </c>
      <c r="AK28">
        <v>771.65</v>
      </c>
      <c r="AL28">
        <v>0</v>
      </c>
      <c r="AM28">
        <v>757.55</v>
      </c>
      <c r="AN28">
        <v>140.47999999999999</v>
      </c>
      <c r="AO28">
        <v>14.1</v>
      </c>
      <c r="AP28">
        <v>0</v>
      </c>
      <c r="AQ28">
        <v>1.38</v>
      </c>
      <c r="AR28">
        <v>0</v>
      </c>
      <c r="AS28">
        <v>0</v>
      </c>
      <c r="AT28">
        <v>92</v>
      </c>
      <c r="AU28">
        <v>50</v>
      </c>
      <c r="AV28">
        <v>1</v>
      </c>
      <c r="AW28">
        <v>1</v>
      </c>
      <c r="AZ28">
        <v>1</v>
      </c>
      <c r="BA28">
        <v>24.82</v>
      </c>
      <c r="BB28">
        <v>9.7799999999999994</v>
      </c>
      <c r="BC28">
        <v>1</v>
      </c>
      <c r="BD28" t="s">
        <v>3</v>
      </c>
      <c r="BE28" t="s">
        <v>3</v>
      </c>
      <c r="BF28" t="s">
        <v>3</v>
      </c>
      <c r="BG28" t="s">
        <v>3</v>
      </c>
      <c r="BH28">
        <v>0</v>
      </c>
      <c r="BI28">
        <v>1</v>
      </c>
      <c r="BJ28" t="s">
        <v>19</v>
      </c>
      <c r="BM28">
        <v>2</v>
      </c>
      <c r="BN28">
        <v>0</v>
      </c>
      <c r="BO28" t="s">
        <v>16</v>
      </c>
      <c r="BP28">
        <v>1</v>
      </c>
      <c r="BQ28">
        <v>30</v>
      </c>
      <c r="BR28">
        <v>0</v>
      </c>
      <c r="BS28">
        <v>24.82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</v>
      </c>
      <c r="BZ28">
        <v>92</v>
      </c>
      <c r="CA28">
        <v>50</v>
      </c>
      <c r="CE28">
        <v>30</v>
      </c>
      <c r="CF28">
        <v>0</v>
      </c>
      <c r="CG28">
        <v>0</v>
      </c>
      <c r="CM28">
        <v>0</v>
      </c>
      <c r="CN28" t="s">
        <v>3</v>
      </c>
      <c r="CO28">
        <v>0</v>
      </c>
      <c r="CP28">
        <f t="shared" ref="CP28:CP37" si="41">(P28+Q28+S28)</f>
        <v>16494.060000000001</v>
      </c>
      <c r="CQ28">
        <f t="shared" ref="CQ28:CQ37" si="42">ROUND((ROUND((AC28*AW28*1),2)*BC28),2)</f>
        <v>0</v>
      </c>
      <c r="CR28">
        <f t="shared" ref="CR28:CR37" si="43">(ROUND((ROUND(((ET28)*AV28*1),2)*BB28),2)+ROUND((ROUND(((AE28-(EU28))*AV28*1),2)*BS28),2))</f>
        <v>7408.84</v>
      </c>
      <c r="CS28">
        <f t="shared" ref="CS28:CS37" si="44">ROUND((ROUND((AE28*AV28*1),2)*BS28),2)</f>
        <v>3486.71</v>
      </c>
      <c r="CT28">
        <f t="shared" ref="CT28:CT37" si="45">ROUND((ROUND((AF28*AV28*1),2)*BA28),2)</f>
        <v>349.96</v>
      </c>
      <c r="CU28">
        <f t="shared" ref="CU28:CU37" si="46">AG28</f>
        <v>0</v>
      </c>
      <c r="CV28">
        <f t="shared" ref="CV28:CV37" si="47">(AH28*AV28)</f>
        <v>1.38</v>
      </c>
      <c r="CW28">
        <f t="shared" ref="CW28:CW37" si="48">AI28</f>
        <v>0</v>
      </c>
      <c r="CX28">
        <f t="shared" ref="CX28:CX37" si="49">AJ28</f>
        <v>0</v>
      </c>
      <c r="CY28">
        <f t="shared" ref="CY28:CY37" si="50">S28*(BZ28/100)</f>
        <v>684.35120000000006</v>
      </c>
      <c r="CZ28">
        <f t="shared" ref="CZ28:CZ37" si="51">S28*(CA28/100)</f>
        <v>371.93</v>
      </c>
      <c r="DC28" t="s">
        <v>3</v>
      </c>
      <c r="DD28" t="s">
        <v>3</v>
      </c>
      <c r="DE28" t="s">
        <v>3</v>
      </c>
      <c r="DF28" t="s">
        <v>3</v>
      </c>
      <c r="DG28" t="s">
        <v>3</v>
      </c>
      <c r="DH28" t="s">
        <v>3</v>
      </c>
      <c r="DI28" t="s">
        <v>3</v>
      </c>
      <c r="DJ28" t="s">
        <v>3</v>
      </c>
      <c r="DK28" t="s">
        <v>3</v>
      </c>
      <c r="DL28" t="s">
        <v>3</v>
      </c>
      <c r="DM28" t="s">
        <v>3</v>
      </c>
      <c r="DN28">
        <v>98</v>
      </c>
      <c r="DO28">
        <v>77</v>
      </c>
      <c r="DP28">
        <v>1</v>
      </c>
      <c r="DQ28">
        <v>1</v>
      </c>
      <c r="DU28">
        <v>1013</v>
      </c>
      <c r="DV28" t="s">
        <v>18</v>
      </c>
      <c r="DW28" t="s">
        <v>18</v>
      </c>
      <c r="DX28">
        <v>1</v>
      </c>
      <c r="EE28">
        <v>33797437</v>
      </c>
      <c r="EF28">
        <v>30</v>
      </c>
      <c r="EG28" t="s">
        <v>20</v>
      </c>
      <c r="EH28">
        <v>0</v>
      </c>
      <c r="EI28" t="s">
        <v>3</v>
      </c>
      <c r="EJ28">
        <v>1</v>
      </c>
      <c r="EK28">
        <v>2</v>
      </c>
      <c r="EL28" t="s">
        <v>21</v>
      </c>
      <c r="EM28" t="s">
        <v>22</v>
      </c>
      <c r="EO28" t="s">
        <v>3</v>
      </c>
      <c r="EQ28">
        <v>131072</v>
      </c>
      <c r="ER28">
        <v>771.65</v>
      </c>
      <c r="ES28">
        <v>0</v>
      </c>
      <c r="ET28">
        <v>757.55</v>
      </c>
      <c r="EU28">
        <v>140.47999999999999</v>
      </c>
      <c r="EV28">
        <v>14.1</v>
      </c>
      <c r="EW28">
        <v>1.38</v>
      </c>
      <c r="EX28">
        <v>0</v>
      </c>
      <c r="EY28">
        <v>0</v>
      </c>
      <c r="FQ28">
        <v>0</v>
      </c>
      <c r="FR28">
        <f t="shared" ref="FR28:FR37" si="52">ROUND(IF(AND(BH28=3,BI28=3),P28,0),2)</f>
        <v>0</v>
      </c>
      <c r="FS28">
        <v>0</v>
      </c>
      <c r="FX28">
        <v>98</v>
      </c>
      <c r="FY28">
        <v>77</v>
      </c>
      <c r="GA28" t="s">
        <v>3</v>
      </c>
      <c r="GD28">
        <v>0</v>
      </c>
      <c r="GF28">
        <v>445216503</v>
      </c>
      <c r="GG28">
        <v>2</v>
      </c>
      <c r="GH28">
        <v>1</v>
      </c>
      <c r="GI28">
        <v>2</v>
      </c>
      <c r="GJ28">
        <v>0</v>
      </c>
      <c r="GK28">
        <f>ROUND(R28*(R12)/100,2)</f>
        <v>11637.22</v>
      </c>
      <c r="GL28">
        <f t="shared" ref="GL28:GL37" si="53">ROUND(IF(AND(BH28=3,BI28=3,FS28&lt;&gt;0),P28,0),2)</f>
        <v>0</v>
      </c>
      <c r="GM28">
        <f t="shared" ref="GM28:GM37" si="54">ROUND(O28+X28+Y28+GK28,2)+GX28</f>
        <v>29187.56</v>
      </c>
      <c r="GN28">
        <f t="shared" ref="GN28:GN37" si="55">IF(OR(BI28=0,BI28=1),ROUND(O28+X28+Y28+GK28,2),0)</f>
        <v>29187.56</v>
      </c>
      <c r="GO28">
        <f t="shared" ref="GO28:GO37" si="56">IF(BI28=2,ROUND(O28+X28+Y28+GK28,2),0)</f>
        <v>0</v>
      </c>
      <c r="GP28">
        <f t="shared" ref="GP28:GP37" si="57">IF(BI28=4,ROUND(O28+X28+Y28+GK28,2)+GX28,0)</f>
        <v>0</v>
      </c>
      <c r="GR28">
        <v>0</v>
      </c>
      <c r="GS28">
        <v>0</v>
      </c>
      <c r="GT28">
        <v>0</v>
      </c>
      <c r="GU28" t="s">
        <v>3</v>
      </c>
      <c r="GV28">
        <f t="shared" ref="GV28:GV37" si="58">ROUND((GT28),6)</f>
        <v>0</v>
      </c>
      <c r="GW28">
        <v>1</v>
      </c>
      <c r="GX28">
        <f t="shared" ref="GX28:GX37" si="59">ROUND(HC28*I28,2)</f>
        <v>0</v>
      </c>
      <c r="HA28">
        <v>0</v>
      </c>
      <c r="HB28">
        <v>0</v>
      </c>
      <c r="HC28">
        <f t="shared" ref="HC28:HC37" si="60">GV28*GW28</f>
        <v>0</v>
      </c>
      <c r="IK28">
        <v>0</v>
      </c>
    </row>
    <row r="29" spans="1:245">
      <c r="A29">
        <v>17</v>
      </c>
      <c r="B29">
        <v>1</v>
      </c>
      <c r="C29">
        <f>ROW(SmtRes!A4)</f>
        <v>4</v>
      </c>
      <c r="D29">
        <f>ROW(EtalonRes!A4)</f>
        <v>4</v>
      </c>
      <c r="E29" t="s">
        <v>23</v>
      </c>
      <c r="F29" t="s">
        <v>24</v>
      </c>
      <c r="G29" t="s">
        <v>25</v>
      </c>
      <c r="H29" t="s">
        <v>18</v>
      </c>
      <c r="I29">
        <f>ROUND(562.4/100*0.42*0.1,9)</f>
        <v>0.236208</v>
      </c>
      <c r="J29">
        <v>0</v>
      </c>
      <c r="O29">
        <f t="shared" si="21"/>
        <v>11975.15</v>
      </c>
      <c r="P29">
        <f t="shared" si="22"/>
        <v>0</v>
      </c>
      <c r="Q29">
        <f t="shared" si="23"/>
        <v>0</v>
      </c>
      <c r="R29">
        <f t="shared" si="24"/>
        <v>0</v>
      </c>
      <c r="S29">
        <f t="shared" si="25"/>
        <v>11975.15</v>
      </c>
      <c r="T29">
        <f t="shared" si="26"/>
        <v>0</v>
      </c>
      <c r="U29">
        <f t="shared" si="27"/>
        <v>45.517281599999997</v>
      </c>
      <c r="V29">
        <f t="shared" si="28"/>
        <v>0</v>
      </c>
      <c r="W29">
        <f t="shared" si="29"/>
        <v>0</v>
      </c>
      <c r="X29">
        <f t="shared" si="30"/>
        <v>10178.879999999999</v>
      </c>
      <c r="Y29">
        <f t="shared" si="31"/>
        <v>4909.8100000000004</v>
      </c>
      <c r="AA29">
        <v>33985563</v>
      </c>
      <c r="AB29">
        <f t="shared" si="32"/>
        <v>2042.62</v>
      </c>
      <c r="AC29">
        <f t="shared" si="33"/>
        <v>0</v>
      </c>
      <c r="AD29">
        <f t="shared" si="34"/>
        <v>0</v>
      </c>
      <c r="AE29">
        <f t="shared" si="35"/>
        <v>0</v>
      </c>
      <c r="AF29">
        <f t="shared" si="36"/>
        <v>2042.62</v>
      </c>
      <c r="AG29">
        <f t="shared" si="37"/>
        <v>0</v>
      </c>
      <c r="AH29">
        <f t="shared" si="38"/>
        <v>192.7</v>
      </c>
      <c r="AI29">
        <f t="shared" si="39"/>
        <v>0</v>
      </c>
      <c r="AJ29">
        <f t="shared" si="40"/>
        <v>0</v>
      </c>
      <c r="AK29">
        <v>2042.62</v>
      </c>
      <c r="AL29">
        <v>0</v>
      </c>
      <c r="AM29">
        <v>0</v>
      </c>
      <c r="AN29">
        <v>0</v>
      </c>
      <c r="AO29">
        <v>2042.62</v>
      </c>
      <c r="AP29">
        <v>0</v>
      </c>
      <c r="AQ29">
        <v>192.7</v>
      </c>
      <c r="AR29">
        <v>0</v>
      </c>
      <c r="AS29">
        <v>0</v>
      </c>
      <c r="AT29">
        <v>85</v>
      </c>
      <c r="AU29">
        <v>41</v>
      </c>
      <c r="AV29">
        <v>1</v>
      </c>
      <c r="AW29">
        <v>1</v>
      </c>
      <c r="AZ29">
        <v>1</v>
      </c>
      <c r="BA29">
        <v>24.82</v>
      </c>
      <c r="BB29">
        <v>1</v>
      </c>
      <c r="BC29">
        <v>1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26</v>
      </c>
      <c r="BM29">
        <v>16</v>
      </c>
      <c r="BN29">
        <v>0</v>
      </c>
      <c r="BO29" t="s">
        <v>24</v>
      </c>
      <c r="BP29">
        <v>1</v>
      </c>
      <c r="BQ29">
        <v>30</v>
      </c>
      <c r="BR29">
        <v>0</v>
      </c>
      <c r="BS29">
        <v>24.82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85</v>
      </c>
      <c r="CA29">
        <v>41</v>
      </c>
      <c r="CE29">
        <v>30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41"/>
        <v>11975.15</v>
      </c>
      <c r="CQ29">
        <f t="shared" si="42"/>
        <v>0</v>
      </c>
      <c r="CR29">
        <f t="shared" si="43"/>
        <v>0</v>
      </c>
      <c r="CS29">
        <f t="shared" si="44"/>
        <v>0</v>
      </c>
      <c r="CT29">
        <f t="shared" si="45"/>
        <v>50697.83</v>
      </c>
      <c r="CU29">
        <f t="shared" si="46"/>
        <v>0</v>
      </c>
      <c r="CV29">
        <f t="shared" si="47"/>
        <v>192.7</v>
      </c>
      <c r="CW29">
        <f t="shared" si="48"/>
        <v>0</v>
      </c>
      <c r="CX29">
        <f t="shared" si="49"/>
        <v>0</v>
      </c>
      <c r="CY29">
        <f t="shared" si="50"/>
        <v>10178.877499999999</v>
      </c>
      <c r="CZ29">
        <f t="shared" si="51"/>
        <v>4909.8114999999998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105</v>
      </c>
      <c r="DO29">
        <v>77</v>
      </c>
      <c r="DP29">
        <v>1</v>
      </c>
      <c r="DQ29">
        <v>1</v>
      </c>
      <c r="DU29">
        <v>1013</v>
      </c>
      <c r="DV29" t="s">
        <v>18</v>
      </c>
      <c r="DW29" t="s">
        <v>18</v>
      </c>
      <c r="DX29">
        <v>1</v>
      </c>
      <c r="EE29">
        <v>33797451</v>
      </c>
      <c r="EF29">
        <v>30</v>
      </c>
      <c r="EG29" t="s">
        <v>20</v>
      </c>
      <c r="EH29">
        <v>0</v>
      </c>
      <c r="EI29" t="s">
        <v>3</v>
      </c>
      <c r="EJ29">
        <v>1</v>
      </c>
      <c r="EK29">
        <v>16</v>
      </c>
      <c r="EL29" t="s">
        <v>27</v>
      </c>
      <c r="EM29" t="s">
        <v>28</v>
      </c>
      <c r="EO29" t="s">
        <v>3</v>
      </c>
      <c r="EQ29">
        <v>131072</v>
      </c>
      <c r="ER29">
        <v>2042.62</v>
      </c>
      <c r="ES29">
        <v>0</v>
      </c>
      <c r="ET29">
        <v>0</v>
      </c>
      <c r="EU29">
        <v>0</v>
      </c>
      <c r="EV29">
        <v>2042.62</v>
      </c>
      <c r="EW29">
        <v>192.7</v>
      </c>
      <c r="EX29">
        <v>0</v>
      </c>
      <c r="EY29">
        <v>0</v>
      </c>
      <c r="FQ29">
        <v>0</v>
      </c>
      <c r="FR29">
        <f t="shared" si="52"/>
        <v>0</v>
      </c>
      <c r="FS29">
        <v>0</v>
      </c>
      <c r="FX29">
        <v>105</v>
      </c>
      <c r="FY29">
        <v>77</v>
      </c>
      <c r="GA29" t="s">
        <v>3</v>
      </c>
      <c r="GD29">
        <v>0</v>
      </c>
      <c r="GF29">
        <v>-1632341149</v>
      </c>
      <c r="GG29">
        <v>2</v>
      </c>
      <c r="GH29">
        <v>1</v>
      </c>
      <c r="GI29">
        <v>2</v>
      </c>
      <c r="GJ29">
        <v>0</v>
      </c>
      <c r="GK29">
        <f>ROUND(R29*(R12)/100,2)</f>
        <v>0</v>
      </c>
      <c r="GL29">
        <f t="shared" si="53"/>
        <v>0</v>
      </c>
      <c r="GM29">
        <f t="shared" si="54"/>
        <v>27063.84</v>
      </c>
      <c r="GN29">
        <f t="shared" si="55"/>
        <v>27063.84</v>
      </c>
      <c r="GO29">
        <f t="shared" si="56"/>
        <v>0</v>
      </c>
      <c r="GP29">
        <f t="shared" si="57"/>
        <v>0</v>
      </c>
      <c r="GR29">
        <v>0</v>
      </c>
      <c r="GS29">
        <v>0</v>
      </c>
      <c r="GT29">
        <v>0</v>
      </c>
      <c r="GU29" t="s">
        <v>3</v>
      </c>
      <c r="GV29">
        <f t="shared" si="58"/>
        <v>0</v>
      </c>
      <c r="GW29">
        <v>1</v>
      </c>
      <c r="GX29">
        <f t="shared" si="59"/>
        <v>0</v>
      </c>
      <c r="HA29">
        <v>0</v>
      </c>
      <c r="HB29">
        <v>0</v>
      </c>
      <c r="HC29">
        <f t="shared" si="60"/>
        <v>0</v>
      </c>
      <c r="IK29">
        <v>0</v>
      </c>
    </row>
    <row r="30" spans="1:245">
      <c r="A30">
        <v>17</v>
      </c>
      <c r="B30">
        <v>1</v>
      </c>
      <c r="C30">
        <f>ROW(SmtRes!A7)</f>
        <v>7</v>
      </c>
      <c r="D30">
        <f>ROW(EtalonRes!A7)</f>
        <v>7</v>
      </c>
      <c r="E30" t="s">
        <v>29</v>
      </c>
      <c r="F30" t="s">
        <v>16</v>
      </c>
      <c r="G30" t="s">
        <v>17</v>
      </c>
      <c r="H30" t="s">
        <v>18</v>
      </c>
      <c r="I30">
        <f>ROUND((I28*0.9*100)/100,9)</f>
        <v>1.9132848</v>
      </c>
      <c r="J30">
        <v>0</v>
      </c>
      <c r="O30">
        <f t="shared" si="21"/>
        <v>14844.87</v>
      </c>
      <c r="P30">
        <f t="shared" si="22"/>
        <v>0</v>
      </c>
      <c r="Q30">
        <f t="shared" si="23"/>
        <v>14175.23</v>
      </c>
      <c r="R30">
        <f t="shared" si="24"/>
        <v>6671.12</v>
      </c>
      <c r="S30">
        <f t="shared" si="25"/>
        <v>669.64</v>
      </c>
      <c r="T30">
        <f t="shared" si="26"/>
        <v>0</v>
      </c>
      <c r="U30">
        <f t="shared" si="27"/>
        <v>2.6403330239999998</v>
      </c>
      <c r="V30">
        <f t="shared" si="28"/>
        <v>0</v>
      </c>
      <c r="W30">
        <f t="shared" si="29"/>
        <v>0</v>
      </c>
      <c r="X30">
        <f t="shared" si="30"/>
        <v>616.07000000000005</v>
      </c>
      <c r="Y30">
        <f t="shared" si="31"/>
        <v>334.82</v>
      </c>
      <c r="AA30">
        <v>33985563</v>
      </c>
      <c r="AB30">
        <f t="shared" si="32"/>
        <v>771.65</v>
      </c>
      <c r="AC30">
        <f t="shared" si="33"/>
        <v>0</v>
      </c>
      <c r="AD30">
        <f t="shared" si="34"/>
        <v>757.55</v>
      </c>
      <c r="AE30">
        <f t="shared" si="35"/>
        <v>140.47999999999999</v>
      </c>
      <c r="AF30">
        <f t="shared" si="36"/>
        <v>14.1</v>
      </c>
      <c r="AG30">
        <f t="shared" si="37"/>
        <v>0</v>
      </c>
      <c r="AH30">
        <f t="shared" si="38"/>
        <v>1.38</v>
      </c>
      <c r="AI30">
        <f t="shared" si="39"/>
        <v>0</v>
      </c>
      <c r="AJ30">
        <f t="shared" si="40"/>
        <v>0</v>
      </c>
      <c r="AK30">
        <v>771.65</v>
      </c>
      <c r="AL30">
        <v>0</v>
      </c>
      <c r="AM30">
        <v>757.55</v>
      </c>
      <c r="AN30">
        <v>140.47999999999999</v>
      </c>
      <c r="AO30">
        <v>14.1</v>
      </c>
      <c r="AP30">
        <v>0</v>
      </c>
      <c r="AQ30">
        <v>1.38</v>
      </c>
      <c r="AR30">
        <v>0</v>
      </c>
      <c r="AS30">
        <v>0</v>
      </c>
      <c r="AT30">
        <v>92</v>
      </c>
      <c r="AU30">
        <v>50</v>
      </c>
      <c r="AV30">
        <v>1</v>
      </c>
      <c r="AW30">
        <v>1</v>
      </c>
      <c r="AZ30">
        <v>1</v>
      </c>
      <c r="BA30">
        <v>24.82</v>
      </c>
      <c r="BB30">
        <v>9.7799999999999994</v>
      </c>
      <c r="BC30">
        <v>1</v>
      </c>
      <c r="BD30" t="s">
        <v>3</v>
      </c>
      <c r="BE30" t="s">
        <v>3</v>
      </c>
      <c r="BF30" t="s">
        <v>3</v>
      </c>
      <c r="BG30" t="s">
        <v>3</v>
      </c>
      <c r="BH30">
        <v>0</v>
      </c>
      <c r="BI30">
        <v>1</v>
      </c>
      <c r="BJ30" t="s">
        <v>19</v>
      </c>
      <c r="BM30">
        <v>2</v>
      </c>
      <c r="BN30">
        <v>0</v>
      </c>
      <c r="BO30" t="s">
        <v>16</v>
      </c>
      <c r="BP30">
        <v>1</v>
      </c>
      <c r="BQ30">
        <v>30</v>
      </c>
      <c r="BR30">
        <v>0</v>
      </c>
      <c r="BS30">
        <v>24.82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92</v>
      </c>
      <c r="CA30">
        <v>50</v>
      </c>
      <c r="CE30">
        <v>30</v>
      </c>
      <c r="CF30">
        <v>0</v>
      </c>
      <c r="CG30">
        <v>0</v>
      </c>
      <c r="CM30">
        <v>0</v>
      </c>
      <c r="CN30" t="s">
        <v>3</v>
      </c>
      <c r="CO30">
        <v>0</v>
      </c>
      <c r="CP30">
        <f t="shared" si="41"/>
        <v>14844.869999999999</v>
      </c>
      <c r="CQ30">
        <f t="shared" si="42"/>
        <v>0</v>
      </c>
      <c r="CR30">
        <f t="shared" si="43"/>
        <v>7408.84</v>
      </c>
      <c r="CS30">
        <f t="shared" si="44"/>
        <v>3486.71</v>
      </c>
      <c r="CT30">
        <f t="shared" si="45"/>
        <v>349.96</v>
      </c>
      <c r="CU30">
        <f t="shared" si="46"/>
        <v>0</v>
      </c>
      <c r="CV30">
        <f t="shared" si="47"/>
        <v>1.38</v>
      </c>
      <c r="CW30">
        <f t="shared" si="48"/>
        <v>0</v>
      </c>
      <c r="CX30">
        <f t="shared" si="49"/>
        <v>0</v>
      </c>
      <c r="CY30">
        <f t="shared" si="50"/>
        <v>616.06880000000001</v>
      </c>
      <c r="CZ30">
        <f t="shared" si="51"/>
        <v>334.82</v>
      </c>
      <c r="DC30" t="s">
        <v>3</v>
      </c>
      <c r="DD30" t="s">
        <v>3</v>
      </c>
      <c r="DE30" t="s">
        <v>3</v>
      </c>
      <c r="DF30" t="s">
        <v>3</v>
      </c>
      <c r="DG30" t="s">
        <v>3</v>
      </c>
      <c r="DH30" t="s">
        <v>3</v>
      </c>
      <c r="DI30" t="s">
        <v>3</v>
      </c>
      <c r="DJ30" t="s">
        <v>3</v>
      </c>
      <c r="DK30" t="s">
        <v>3</v>
      </c>
      <c r="DL30" t="s">
        <v>3</v>
      </c>
      <c r="DM30" t="s">
        <v>3</v>
      </c>
      <c r="DN30">
        <v>98</v>
      </c>
      <c r="DO30">
        <v>77</v>
      </c>
      <c r="DP30">
        <v>1</v>
      </c>
      <c r="DQ30">
        <v>1</v>
      </c>
      <c r="DU30">
        <v>1013</v>
      </c>
      <c r="DV30" t="s">
        <v>18</v>
      </c>
      <c r="DW30" t="s">
        <v>18</v>
      </c>
      <c r="DX30">
        <v>1</v>
      </c>
      <c r="EE30">
        <v>33797437</v>
      </c>
      <c r="EF30">
        <v>30</v>
      </c>
      <c r="EG30" t="s">
        <v>20</v>
      </c>
      <c r="EH30">
        <v>0</v>
      </c>
      <c r="EI30" t="s">
        <v>3</v>
      </c>
      <c r="EJ30">
        <v>1</v>
      </c>
      <c r="EK30">
        <v>2</v>
      </c>
      <c r="EL30" t="s">
        <v>21</v>
      </c>
      <c r="EM30" t="s">
        <v>22</v>
      </c>
      <c r="EO30" t="s">
        <v>3</v>
      </c>
      <c r="EQ30">
        <v>131072</v>
      </c>
      <c r="ER30">
        <v>771.65</v>
      </c>
      <c r="ES30">
        <v>0</v>
      </c>
      <c r="ET30">
        <v>757.55</v>
      </c>
      <c r="EU30">
        <v>140.47999999999999</v>
      </c>
      <c r="EV30">
        <v>14.1</v>
      </c>
      <c r="EW30">
        <v>1.38</v>
      </c>
      <c r="EX30">
        <v>0</v>
      </c>
      <c r="EY30">
        <v>0</v>
      </c>
      <c r="FQ30">
        <v>0</v>
      </c>
      <c r="FR30">
        <f t="shared" si="52"/>
        <v>0</v>
      </c>
      <c r="FS30">
        <v>0</v>
      </c>
      <c r="FX30">
        <v>98</v>
      </c>
      <c r="FY30">
        <v>77</v>
      </c>
      <c r="GA30" t="s">
        <v>3</v>
      </c>
      <c r="GD30">
        <v>0</v>
      </c>
      <c r="GF30">
        <v>445216503</v>
      </c>
      <c r="GG30">
        <v>2</v>
      </c>
      <c r="GH30">
        <v>1</v>
      </c>
      <c r="GI30">
        <v>2</v>
      </c>
      <c r="GJ30">
        <v>0</v>
      </c>
      <c r="GK30">
        <f>ROUND(R30*(R12)/100,2)</f>
        <v>10473.66</v>
      </c>
      <c r="GL30">
        <f t="shared" si="53"/>
        <v>0</v>
      </c>
      <c r="GM30">
        <f t="shared" si="54"/>
        <v>26269.42</v>
      </c>
      <c r="GN30">
        <f t="shared" si="55"/>
        <v>26269.42</v>
      </c>
      <c r="GO30">
        <f t="shared" si="56"/>
        <v>0</v>
      </c>
      <c r="GP30">
        <f t="shared" si="57"/>
        <v>0</v>
      </c>
      <c r="GR30">
        <v>0</v>
      </c>
      <c r="GS30">
        <v>3</v>
      </c>
      <c r="GT30">
        <v>0</v>
      </c>
      <c r="GU30" t="s">
        <v>3</v>
      </c>
      <c r="GV30">
        <f t="shared" si="58"/>
        <v>0</v>
      </c>
      <c r="GW30">
        <v>1</v>
      </c>
      <c r="GX30">
        <f t="shared" si="59"/>
        <v>0</v>
      </c>
      <c r="HA30">
        <v>0</v>
      </c>
      <c r="HB30">
        <v>0</v>
      </c>
      <c r="HC30">
        <f t="shared" si="60"/>
        <v>0</v>
      </c>
      <c r="IK30">
        <v>0</v>
      </c>
    </row>
    <row r="31" spans="1:245">
      <c r="A31">
        <v>17</v>
      </c>
      <c r="B31">
        <v>1</v>
      </c>
      <c r="C31">
        <f>ROW(SmtRes!A8)</f>
        <v>8</v>
      </c>
      <c r="D31">
        <f>ROW(EtalonRes!A8)</f>
        <v>8</v>
      </c>
      <c r="E31" t="s">
        <v>30</v>
      </c>
      <c r="F31" t="s">
        <v>31</v>
      </c>
      <c r="G31" t="s">
        <v>32</v>
      </c>
      <c r="H31" t="s">
        <v>18</v>
      </c>
      <c r="I31">
        <f>ROUND((I29*0.1*100)/100,9)</f>
        <v>2.3620800000000001E-2</v>
      </c>
      <c r="J31">
        <v>0</v>
      </c>
      <c r="O31">
        <f t="shared" si="21"/>
        <v>466.12</v>
      </c>
      <c r="P31">
        <f t="shared" si="22"/>
        <v>0</v>
      </c>
      <c r="Q31">
        <f t="shared" si="23"/>
        <v>0</v>
      </c>
      <c r="R31">
        <f t="shared" si="24"/>
        <v>0</v>
      </c>
      <c r="S31">
        <f t="shared" si="25"/>
        <v>466.12</v>
      </c>
      <c r="T31">
        <f t="shared" si="26"/>
        <v>0</v>
      </c>
      <c r="U31">
        <f t="shared" si="27"/>
        <v>1.9605264</v>
      </c>
      <c r="V31">
        <f t="shared" si="28"/>
        <v>0</v>
      </c>
      <c r="W31">
        <f t="shared" si="29"/>
        <v>0</v>
      </c>
      <c r="X31">
        <f t="shared" si="30"/>
        <v>340.27</v>
      </c>
      <c r="Y31">
        <f t="shared" si="31"/>
        <v>191.11</v>
      </c>
      <c r="AA31">
        <v>33985563</v>
      </c>
      <c r="AB31">
        <f t="shared" si="32"/>
        <v>795.14</v>
      </c>
      <c r="AC31">
        <f t="shared" si="33"/>
        <v>0</v>
      </c>
      <c r="AD31">
        <f t="shared" si="34"/>
        <v>0</v>
      </c>
      <c r="AE31">
        <f t="shared" si="35"/>
        <v>0</v>
      </c>
      <c r="AF31">
        <f t="shared" si="36"/>
        <v>795.14</v>
      </c>
      <c r="AG31">
        <f t="shared" si="37"/>
        <v>0</v>
      </c>
      <c r="AH31">
        <f t="shared" si="38"/>
        <v>83</v>
      </c>
      <c r="AI31">
        <f t="shared" si="39"/>
        <v>0</v>
      </c>
      <c r="AJ31">
        <f t="shared" si="40"/>
        <v>0</v>
      </c>
      <c r="AK31">
        <v>795.14</v>
      </c>
      <c r="AL31">
        <v>0</v>
      </c>
      <c r="AM31">
        <v>0</v>
      </c>
      <c r="AN31">
        <v>0</v>
      </c>
      <c r="AO31">
        <v>795.14</v>
      </c>
      <c r="AP31">
        <v>0</v>
      </c>
      <c r="AQ31">
        <v>83</v>
      </c>
      <c r="AR31">
        <v>0</v>
      </c>
      <c r="AS31">
        <v>0</v>
      </c>
      <c r="AT31">
        <v>73</v>
      </c>
      <c r="AU31">
        <v>41</v>
      </c>
      <c r="AV31">
        <v>1</v>
      </c>
      <c r="AW31">
        <v>1</v>
      </c>
      <c r="AZ31">
        <v>1</v>
      </c>
      <c r="BA31">
        <v>24.82</v>
      </c>
      <c r="BB31">
        <v>1</v>
      </c>
      <c r="BC31">
        <v>1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33</v>
      </c>
      <c r="BM31">
        <v>393</v>
      </c>
      <c r="BN31">
        <v>0</v>
      </c>
      <c r="BO31" t="s">
        <v>31</v>
      </c>
      <c r="BP31">
        <v>1</v>
      </c>
      <c r="BQ31">
        <v>60</v>
      </c>
      <c r="BR31">
        <v>0</v>
      </c>
      <c r="BS31">
        <v>24.82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73</v>
      </c>
      <c r="CA31">
        <v>41</v>
      </c>
      <c r="CE31">
        <v>30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41"/>
        <v>466.12</v>
      </c>
      <c r="CQ31">
        <f t="shared" si="42"/>
        <v>0</v>
      </c>
      <c r="CR31">
        <f t="shared" si="43"/>
        <v>0</v>
      </c>
      <c r="CS31">
        <f t="shared" si="44"/>
        <v>0</v>
      </c>
      <c r="CT31">
        <f t="shared" si="45"/>
        <v>19735.37</v>
      </c>
      <c r="CU31">
        <f t="shared" si="46"/>
        <v>0</v>
      </c>
      <c r="CV31">
        <f t="shared" si="47"/>
        <v>83</v>
      </c>
      <c r="CW31">
        <f t="shared" si="48"/>
        <v>0</v>
      </c>
      <c r="CX31">
        <f t="shared" si="49"/>
        <v>0</v>
      </c>
      <c r="CY31">
        <f t="shared" si="50"/>
        <v>340.26760000000002</v>
      </c>
      <c r="CZ31">
        <f t="shared" si="51"/>
        <v>191.10919999999999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91</v>
      </c>
      <c r="DO31">
        <v>67</v>
      </c>
      <c r="DP31">
        <v>1</v>
      </c>
      <c r="DQ31">
        <v>1</v>
      </c>
      <c r="DU31">
        <v>1013</v>
      </c>
      <c r="DV31" t="s">
        <v>18</v>
      </c>
      <c r="DW31" t="s">
        <v>18</v>
      </c>
      <c r="DX31">
        <v>1</v>
      </c>
      <c r="EE31">
        <v>33795827</v>
      </c>
      <c r="EF31">
        <v>60</v>
      </c>
      <c r="EG31" t="s">
        <v>34</v>
      </c>
      <c r="EH31">
        <v>0</v>
      </c>
      <c r="EI31" t="s">
        <v>3</v>
      </c>
      <c r="EJ31">
        <v>1</v>
      </c>
      <c r="EK31">
        <v>393</v>
      </c>
      <c r="EL31" t="s">
        <v>35</v>
      </c>
      <c r="EM31" t="s">
        <v>36</v>
      </c>
      <c r="EO31" t="s">
        <v>3</v>
      </c>
      <c r="EQ31">
        <v>131072</v>
      </c>
      <c r="ER31">
        <v>795.14</v>
      </c>
      <c r="ES31">
        <v>0</v>
      </c>
      <c r="ET31">
        <v>0</v>
      </c>
      <c r="EU31">
        <v>0</v>
      </c>
      <c r="EV31">
        <v>795.14</v>
      </c>
      <c r="EW31">
        <v>83</v>
      </c>
      <c r="EX31">
        <v>0</v>
      </c>
      <c r="EY31">
        <v>0</v>
      </c>
      <c r="FQ31">
        <v>0</v>
      </c>
      <c r="FR31">
        <f t="shared" si="52"/>
        <v>0</v>
      </c>
      <c r="FS31">
        <v>0</v>
      </c>
      <c r="FX31">
        <v>91</v>
      </c>
      <c r="FY31">
        <v>67</v>
      </c>
      <c r="GA31" t="s">
        <v>3</v>
      </c>
      <c r="GD31">
        <v>0</v>
      </c>
      <c r="GF31">
        <v>2144161260</v>
      </c>
      <c r="GG31">
        <v>2</v>
      </c>
      <c r="GH31">
        <v>1</v>
      </c>
      <c r="GI31">
        <v>2</v>
      </c>
      <c r="GJ31">
        <v>0</v>
      </c>
      <c r="GK31">
        <f>ROUND(R31*(R12)/100,2)</f>
        <v>0</v>
      </c>
      <c r="GL31">
        <f t="shared" si="53"/>
        <v>0</v>
      </c>
      <c r="GM31">
        <f t="shared" si="54"/>
        <v>997.5</v>
      </c>
      <c r="GN31">
        <f t="shared" si="55"/>
        <v>997.5</v>
      </c>
      <c r="GO31">
        <f t="shared" si="56"/>
        <v>0</v>
      </c>
      <c r="GP31">
        <f t="shared" si="57"/>
        <v>0</v>
      </c>
      <c r="GR31">
        <v>0</v>
      </c>
      <c r="GS31">
        <v>3</v>
      </c>
      <c r="GT31">
        <v>0</v>
      </c>
      <c r="GU31" t="s">
        <v>3</v>
      </c>
      <c r="GV31">
        <f t="shared" si="58"/>
        <v>0</v>
      </c>
      <c r="GW31">
        <v>1</v>
      </c>
      <c r="GX31">
        <f t="shared" si="59"/>
        <v>0</v>
      </c>
      <c r="HA31">
        <v>0</v>
      </c>
      <c r="HB31">
        <v>0</v>
      </c>
      <c r="HC31">
        <f t="shared" si="60"/>
        <v>0</v>
      </c>
      <c r="IK31">
        <v>0</v>
      </c>
    </row>
    <row r="32" spans="1:245">
      <c r="A32">
        <v>17</v>
      </c>
      <c r="B32">
        <v>1</v>
      </c>
      <c r="C32">
        <f>ROW(SmtRes!A16)</f>
        <v>16</v>
      </c>
      <c r="D32">
        <f>ROW(EtalonRes!A16)</f>
        <v>16</v>
      </c>
      <c r="E32" t="s">
        <v>37</v>
      </c>
      <c r="F32" t="s">
        <v>38</v>
      </c>
      <c r="G32" t="s">
        <v>39</v>
      </c>
      <c r="H32" t="s">
        <v>40</v>
      </c>
      <c r="I32">
        <f>ROUND(562.4*0.2/100,9)</f>
        <v>1.1248</v>
      </c>
      <c r="J32">
        <v>0</v>
      </c>
      <c r="O32">
        <f t="shared" si="21"/>
        <v>11709.45</v>
      </c>
      <c r="P32">
        <f t="shared" si="22"/>
        <v>198.4</v>
      </c>
      <c r="Q32">
        <f t="shared" si="23"/>
        <v>7281.72</v>
      </c>
      <c r="R32">
        <f t="shared" si="24"/>
        <v>3323.65</v>
      </c>
      <c r="S32">
        <f t="shared" si="25"/>
        <v>4229.33</v>
      </c>
      <c r="T32">
        <f t="shared" si="26"/>
        <v>0</v>
      </c>
      <c r="U32">
        <f t="shared" si="27"/>
        <v>16.197120000000002</v>
      </c>
      <c r="V32">
        <f t="shared" si="28"/>
        <v>0</v>
      </c>
      <c r="W32">
        <f t="shared" si="29"/>
        <v>0</v>
      </c>
      <c r="X32">
        <f t="shared" si="30"/>
        <v>5540.42</v>
      </c>
      <c r="Y32">
        <f t="shared" si="31"/>
        <v>2283.84</v>
      </c>
      <c r="AA32">
        <v>33985563</v>
      </c>
      <c r="AB32">
        <f t="shared" si="32"/>
        <v>863.31</v>
      </c>
      <c r="AC32">
        <f t="shared" si="33"/>
        <v>35.35</v>
      </c>
      <c r="AD32">
        <f t="shared" si="34"/>
        <v>676.47</v>
      </c>
      <c r="AE32">
        <f t="shared" si="35"/>
        <v>119.05</v>
      </c>
      <c r="AF32">
        <f t="shared" si="36"/>
        <v>151.49</v>
      </c>
      <c r="AG32">
        <f t="shared" si="37"/>
        <v>0</v>
      </c>
      <c r="AH32">
        <f t="shared" si="38"/>
        <v>14.4</v>
      </c>
      <c r="AI32">
        <f t="shared" si="39"/>
        <v>0</v>
      </c>
      <c r="AJ32">
        <f t="shared" si="40"/>
        <v>0</v>
      </c>
      <c r="AK32">
        <v>863.31</v>
      </c>
      <c r="AL32">
        <v>35.35</v>
      </c>
      <c r="AM32">
        <v>676.47</v>
      </c>
      <c r="AN32">
        <v>119.05</v>
      </c>
      <c r="AO32">
        <v>151.49</v>
      </c>
      <c r="AP32">
        <v>0</v>
      </c>
      <c r="AQ32">
        <v>14.4</v>
      </c>
      <c r="AR32">
        <v>0</v>
      </c>
      <c r="AS32">
        <v>0</v>
      </c>
      <c r="AT32">
        <v>131</v>
      </c>
      <c r="AU32">
        <v>54</v>
      </c>
      <c r="AV32">
        <v>1</v>
      </c>
      <c r="AW32">
        <v>1</v>
      </c>
      <c r="AZ32">
        <v>1</v>
      </c>
      <c r="BA32">
        <v>24.82</v>
      </c>
      <c r="BB32">
        <v>9.57</v>
      </c>
      <c r="BC32">
        <v>4.99</v>
      </c>
      <c r="BD32" t="s">
        <v>3</v>
      </c>
      <c r="BE32" t="s">
        <v>3</v>
      </c>
      <c r="BF32" t="s">
        <v>3</v>
      </c>
      <c r="BG32" t="s">
        <v>3</v>
      </c>
      <c r="BH32">
        <v>0</v>
      </c>
      <c r="BI32">
        <v>1</v>
      </c>
      <c r="BJ32" t="s">
        <v>41</v>
      </c>
      <c r="BM32">
        <v>146</v>
      </c>
      <c r="BN32">
        <v>0</v>
      </c>
      <c r="BO32" t="s">
        <v>38</v>
      </c>
      <c r="BP32">
        <v>1</v>
      </c>
      <c r="BQ32">
        <v>30</v>
      </c>
      <c r="BR32">
        <v>0</v>
      </c>
      <c r="BS32">
        <v>24.82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131</v>
      </c>
      <c r="CA32">
        <v>54</v>
      </c>
      <c r="CE32">
        <v>30</v>
      </c>
      <c r="CF32">
        <v>0</v>
      </c>
      <c r="CG32">
        <v>0</v>
      </c>
      <c r="CM32">
        <v>0</v>
      </c>
      <c r="CN32" t="s">
        <v>3</v>
      </c>
      <c r="CO32">
        <v>0</v>
      </c>
      <c r="CP32">
        <f t="shared" si="41"/>
        <v>11709.45</v>
      </c>
      <c r="CQ32">
        <f t="shared" si="42"/>
        <v>176.4</v>
      </c>
      <c r="CR32">
        <f t="shared" si="43"/>
        <v>6473.82</v>
      </c>
      <c r="CS32">
        <f t="shared" si="44"/>
        <v>2954.82</v>
      </c>
      <c r="CT32">
        <f t="shared" si="45"/>
        <v>3759.98</v>
      </c>
      <c r="CU32">
        <f t="shared" si="46"/>
        <v>0</v>
      </c>
      <c r="CV32">
        <f t="shared" si="47"/>
        <v>14.4</v>
      </c>
      <c r="CW32">
        <f t="shared" si="48"/>
        <v>0</v>
      </c>
      <c r="CX32">
        <f t="shared" si="49"/>
        <v>0</v>
      </c>
      <c r="CY32">
        <f t="shared" si="50"/>
        <v>5540.4223000000002</v>
      </c>
      <c r="CZ32">
        <f t="shared" si="51"/>
        <v>2283.8382000000001</v>
      </c>
      <c r="DC32" t="s">
        <v>3</v>
      </c>
      <c r="DD32" t="s">
        <v>3</v>
      </c>
      <c r="DE32" t="s">
        <v>3</v>
      </c>
      <c r="DF32" t="s">
        <v>3</v>
      </c>
      <c r="DG32" t="s">
        <v>3</v>
      </c>
      <c r="DH32" t="s">
        <v>3</v>
      </c>
      <c r="DI32" t="s">
        <v>3</v>
      </c>
      <c r="DJ32" t="s">
        <v>3</v>
      </c>
      <c r="DK32" t="s">
        <v>3</v>
      </c>
      <c r="DL32" t="s">
        <v>3</v>
      </c>
      <c r="DM32" t="s">
        <v>3</v>
      </c>
      <c r="DN32">
        <v>161</v>
      </c>
      <c r="DO32">
        <v>107</v>
      </c>
      <c r="DP32">
        <v>1</v>
      </c>
      <c r="DQ32">
        <v>1</v>
      </c>
      <c r="DU32">
        <v>1013</v>
      </c>
      <c r="DV32" t="s">
        <v>40</v>
      </c>
      <c r="DW32" t="s">
        <v>40</v>
      </c>
      <c r="DX32">
        <v>1</v>
      </c>
      <c r="EE32">
        <v>33795580</v>
      </c>
      <c r="EF32">
        <v>30</v>
      </c>
      <c r="EG32" t="s">
        <v>20</v>
      </c>
      <c r="EH32">
        <v>0</v>
      </c>
      <c r="EI32" t="s">
        <v>3</v>
      </c>
      <c r="EJ32">
        <v>1</v>
      </c>
      <c r="EK32">
        <v>146</v>
      </c>
      <c r="EL32" t="s">
        <v>42</v>
      </c>
      <c r="EM32" t="s">
        <v>43</v>
      </c>
      <c r="EO32" t="s">
        <v>3</v>
      </c>
      <c r="EQ32">
        <v>131072</v>
      </c>
      <c r="ER32">
        <v>863.31</v>
      </c>
      <c r="ES32">
        <v>35.35</v>
      </c>
      <c r="ET32">
        <v>676.47</v>
      </c>
      <c r="EU32">
        <v>119.05</v>
      </c>
      <c r="EV32">
        <v>151.49</v>
      </c>
      <c r="EW32">
        <v>14.4</v>
      </c>
      <c r="EX32">
        <v>0</v>
      </c>
      <c r="EY32">
        <v>0</v>
      </c>
      <c r="FQ32">
        <v>0</v>
      </c>
      <c r="FR32">
        <f t="shared" si="52"/>
        <v>0</v>
      </c>
      <c r="FS32">
        <v>0</v>
      </c>
      <c r="FX32">
        <v>161</v>
      </c>
      <c r="FY32">
        <v>107</v>
      </c>
      <c r="GA32" t="s">
        <v>3</v>
      </c>
      <c r="GD32">
        <v>0</v>
      </c>
      <c r="GF32">
        <v>-1939963274</v>
      </c>
      <c r="GG32">
        <v>2</v>
      </c>
      <c r="GH32">
        <v>1</v>
      </c>
      <c r="GI32">
        <v>2</v>
      </c>
      <c r="GJ32">
        <v>0</v>
      </c>
      <c r="GK32">
        <f>ROUND(R32*(R12)/100,2)</f>
        <v>5218.13</v>
      </c>
      <c r="GL32">
        <f t="shared" si="53"/>
        <v>0</v>
      </c>
      <c r="GM32">
        <f t="shared" si="54"/>
        <v>24751.84</v>
      </c>
      <c r="GN32">
        <f t="shared" si="55"/>
        <v>24751.84</v>
      </c>
      <c r="GO32">
        <f t="shared" si="56"/>
        <v>0</v>
      </c>
      <c r="GP32">
        <f t="shared" si="57"/>
        <v>0</v>
      </c>
      <c r="GR32">
        <v>0</v>
      </c>
      <c r="GS32">
        <v>0</v>
      </c>
      <c r="GT32">
        <v>0</v>
      </c>
      <c r="GU32" t="s">
        <v>3</v>
      </c>
      <c r="GV32">
        <f t="shared" si="58"/>
        <v>0</v>
      </c>
      <c r="GW32">
        <v>1</v>
      </c>
      <c r="GX32">
        <f t="shared" si="59"/>
        <v>0</v>
      </c>
      <c r="HA32">
        <v>0</v>
      </c>
      <c r="HB32">
        <v>0</v>
      </c>
      <c r="HC32">
        <f t="shared" si="60"/>
        <v>0</v>
      </c>
      <c r="IK32">
        <v>0</v>
      </c>
    </row>
    <row r="33" spans="1:245">
      <c r="A33">
        <v>18</v>
      </c>
      <c r="B33">
        <v>1</v>
      </c>
      <c r="C33">
        <v>16</v>
      </c>
      <c r="E33" t="s">
        <v>44</v>
      </c>
      <c r="F33" t="s">
        <v>45</v>
      </c>
      <c r="G33" t="s">
        <v>46</v>
      </c>
      <c r="H33" t="s">
        <v>47</v>
      </c>
      <c r="I33">
        <f>I32*J33</f>
        <v>123.72800000000001</v>
      </c>
      <c r="J33">
        <v>110</v>
      </c>
      <c r="O33">
        <f t="shared" si="21"/>
        <v>68328.45</v>
      </c>
      <c r="P33">
        <f t="shared" si="22"/>
        <v>68328.45</v>
      </c>
      <c r="Q33">
        <f t="shared" si="23"/>
        <v>0</v>
      </c>
      <c r="R33">
        <f t="shared" si="24"/>
        <v>0</v>
      </c>
      <c r="S33">
        <f t="shared" si="25"/>
        <v>0</v>
      </c>
      <c r="T33">
        <f t="shared" si="26"/>
        <v>0</v>
      </c>
      <c r="U33">
        <f t="shared" si="27"/>
        <v>0</v>
      </c>
      <c r="V33">
        <f t="shared" si="28"/>
        <v>0</v>
      </c>
      <c r="W33">
        <f t="shared" si="29"/>
        <v>0</v>
      </c>
      <c r="X33">
        <f t="shared" si="30"/>
        <v>0</v>
      </c>
      <c r="Y33">
        <f t="shared" si="31"/>
        <v>0</v>
      </c>
      <c r="AA33">
        <v>33985563</v>
      </c>
      <c r="AB33">
        <f t="shared" si="32"/>
        <v>104.99</v>
      </c>
      <c r="AC33">
        <f t="shared" si="33"/>
        <v>104.99</v>
      </c>
      <c r="AD33">
        <f t="shared" si="34"/>
        <v>0</v>
      </c>
      <c r="AE33">
        <f t="shared" si="35"/>
        <v>0</v>
      </c>
      <c r="AF33">
        <f t="shared" si="36"/>
        <v>0</v>
      </c>
      <c r="AG33">
        <f t="shared" si="37"/>
        <v>0</v>
      </c>
      <c r="AH33">
        <f t="shared" si="38"/>
        <v>0</v>
      </c>
      <c r="AI33">
        <f t="shared" si="39"/>
        <v>0</v>
      </c>
      <c r="AJ33">
        <f t="shared" si="40"/>
        <v>0</v>
      </c>
      <c r="AK33">
        <v>104.99</v>
      </c>
      <c r="AL33">
        <v>104.99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v>5.26</v>
      </c>
      <c r="BD33" t="s">
        <v>3</v>
      </c>
      <c r="BE33" t="s">
        <v>3</v>
      </c>
      <c r="BF33" t="s">
        <v>3</v>
      </c>
      <c r="BG33" t="s">
        <v>3</v>
      </c>
      <c r="BH33">
        <v>3</v>
      </c>
      <c r="BI33">
        <v>1</v>
      </c>
      <c r="BJ33" t="s">
        <v>48</v>
      </c>
      <c r="BM33">
        <v>146</v>
      </c>
      <c r="BN33">
        <v>0</v>
      </c>
      <c r="BO33" t="s">
        <v>45</v>
      </c>
      <c r="BP33">
        <v>1</v>
      </c>
      <c r="BQ33">
        <v>30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0</v>
      </c>
      <c r="CA33">
        <v>0</v>
      </c>
      <c r="CE33">
        <v>30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41"/>
        <v>68328.45</v>
      </c>
      <c r="CQ33">
        <f t="shared" si="42"/>
        <v>552.25</v>
      </c>
      <c r="CR33">
        <f t="shared" si="43"/>
        <v>0</v>
      </c>
      <c r="CS33">
        <f t="shared" si="44"/>
        <v>0</v>
      </c>
      <c r="CT33">
        <f t="shared" si="45"/>
        <v>0</v>
      </c>
      <c r="CU33">
        <f t="shared" si="46"/>
        <v>0</v>
      </c>
      <c r="CV33">
        <f t="shared" si="47"/>
        <v>0</v>
      </c>
      <c r="CW33">
        <f t="shared" si="48"/>
        <v>0</v>
      </c>
      <c r="CX33">
        <f t="shared" si="49"/>
        <v>0</v>
      </c>
      <c r="CY33">
        <f t="shared" si="50"/>
        <v>0</v>
      </c>
      <c r="CZ33">
        <f t="shared" si="51"/>
        <v>0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161</v>
      </c>
      <c r="DO33">
        <v>107</v>
      </c>
      <c r="DP33">
        <v>1</v>
      </c>
      <c r="DQ33">
        <v>1</v>
      </c>
      <c r="DU33">
        <v>1007</v>
      </c>
      <c r="DV33" t="s">
        <v>47</v>
      </c>
      <c r="DW33" t="s">
        <v>47</v>
      </c>
      <c r="DX33">
        <v>1</v>
      </c>
      <c r="EE33">
        <v>33795580</v>
      </c>
      <c r="EF33">
        <v>30</v>
      </c>
      <c r="EG33" t="s">
        <v>20</v>
      </c>
      <c r="EH33">
        <v>0</v>
      </c>
      <c r="EI33" t="s">
        <v>3</v>
      </c>
      <c r="EJ33">
        <v>1</v>
      </c>
      <c r="EK33">
        <v>146</v>
      </c>
      <c r="EL33" t="s">
        <v>42</v>
      </c>
      <c r="EM33" t="s">
        <v>43</v>
      </c>
      <c r="EO33" t="s">
        <v>3</v>
      </c>
      <c r="EQ33">
        <v>0</v>
      </c>
      <c r="ER33">
        <v>104.99</v>
      </c>
      <c r="ES33">
        <v>104.99</v>
      </c>
      <c r="ET33">
        <v>0</v>
      </c>
      <c r="EU33">
        <v>0</v>
      </c>
      <c r="EV33">
        <v>0</v>
      </c>
      <c r="EW33">
        <v>0</v>
      </c>
      <c r="EX33">
        <v>0</v>
      </c>
      <c r="FQ33">
        <v>0</v>
      </c>
      <c r="FR33">
        <f t="shared" si="52"/>
        <v>0</v>
      </c>
      <c r="FS33">
        <v>0</v>
      </c>
      <c r="FX33">
        <v>161</v>
      </c>
      <c r="FY33">
        <v>107</v>
      </c>
      <c r="GA33" t="s">
        <v>3</v>
      </c>
      <c r="GD33">
        <v>0</v>
      </c>
      <c r="GF33">
        <v>2069056849</v>
      </c>
      <c r="GG33">
        <v>2</v>
      </c>
      <c r="GH33">
        <v>1</v>
      </c>
      <c r="GI33">
        <v>2</v>
      </c>
      <c r="GJ33">
        <v>0</v>
      </c>
      <c r="GK33">
        <f>ROUND(R33*(R12)/100,2)</f>
        <v>0</v>
      </c>
      <c r="GL33">
        <f t="shared" si="53"/>
        <v>0</v>
      </c>
      <c r="GM33">
        <f t="shared" si="54"/>
        <v>68328.45</v>
      </c>
      <c r="GN33">
        <f t="shared" si="55"/>
        <v>68328.45</v>
      </c>
      <c r="GO33">
        <f t="shared" si="56"/>
        <v>0</v>
      </c>
      <c r="GP33">
        <f t="shared" si="57"/>
        <v>0</v>
      </c>
      <c r="GR33">
        <v>0</v>
      </c>
      <c r="GS33">
        <v>0</v>
      </c>
      <c r="GT33">
        <v>0</v>
      </c>
      <c r="GU33" t="s">
        <v>3</v>
      </c>
      <c r="GV33">
        <f t="shared" si="58"/>
        <v>0</v>
      </c>
      <c r="GW33">
        <v>1</v>
      </c>
      <c r="GX33">
        <f t="shared" si="59"/>
        <v>0</v>
      </c>
      <c r="HA33">
        <v>0</v>
      </c>
      <c r="HB33">
        <v>0</v>
      </c>
      <c r="HC33">
        <f t="shared" si="60"/>
        <v>0</v>
      </c>
      <c r="IK33">
        <v>0</v>
      </c>
    </row>
    <row r="34" spans="1:245">
      <c r="A34">
        <v>17</v>
      </c>
      <c r="B34">
        <v>1</v>
      </c>
      <c r="C34">
        <f>ROW(SmtRes!A25)</f>
        <v>25</v>
      </c>
      <c r="D34">
        <f>ROW(EtalonRes!A25)</f>
        <v>25</v>
      </c>
      <c r="E34" t="s">
        <v>49</v>
      </c>
      <c r="F34" t="s">
        <v>50</v>
      </c>
      <c r="G34" t="s">
        <v>51</v>
      </c>
      <c r="H34" t="s">
        <v>40</v>
      </c>
      <c r="I34">
        <f>ROUND(562.4*0.15/100,9)</f>
        <v>0.84360000000000002</v>
      </c>
      <c r="J34">
        <v>0</v>
      </c>
      <c r="O34">
        <f t="shared" si="21"/>
        <v>26654.77</v>
      </c>
      <c r="P34">
        <f t="shared" si="22"/>
        <v>208.33</v>
      </c>
      <c r="Q34">
        <f t="shared" si="23"/>
        <v>21688.69</v>
      </c>
      <c r="R34">
        <f t="shared" si="24"/>
        <v>13237</v>
      </c>
      <c r="S34">
        <f t="shared" si="25"/>
        <v>4757.75</v>
      </c>
      <c r="T34">
        <f t="shared" si="26"/>
        <v>0</v>
      </c>
      <c r="U34">
        <f t="shared" si="27"/>
        <v>18.221760000000003</v>
      </c>
      <c r="V34">
        <f t="shared" si="28"/>
        <v>0</v>
      </c>
      <c r="W34">
        <f t="shared" si="29"/>
        <v>0</v>
      </c>
      <c r="X34">
        <f t="shared" si="30"/>
        <v>6232.65</v>
      </c>
      <c r="Y34">
        <f t="shared" si="31"/>
        <v>2569.19</v>
      </c>
      <c r="AA34">
        <v>33985563</v>
      </c>
      <c r="AB34">
        <f t="shared" si="32"/>
        <v>3301.39</v>
      </c>
      <c r="AC34">
        <f t="shared" si="33"/>
        <v>49.49</v>
      </c>
      <c r="AD34">
        <f t="shared" si="34"/>
        <v>3024.67</v>
      </c>
      <c r="AE34">
        <f t="shared" si="35"/>
        <v>632.20000000000005</v>
      </c>
      <c r="AF34">
        <f t="shared" si="36"/>
        <v>227.23</v>
      </c>
      <c r="AG34">
        <f t="shared" si="37"/>
        <v>0</v>
      </c>
      <c r="AH34">
        <f t="shared" si="38"/>
        <v>21.6</v>
      </c>
      <c r="AI34">
        <f t="shared" si="39"/>
        <v>0</v>
      </c>
      <c r="AJ34">
        <f t="shared" si="40"/>
        <v>0</v>
      </c>
      <c r="AK34">
        <v>3301.39</v>
      </c>
      <c r="AL34">
        <v>49.49</v>
      </c>
      <c r="AM34">
        <v>3024.67</v>
      </c>
      <c r="AN34">
        <v>632.20000000000005</v>
      </c>
      <c r="AO34">
        <v>227.23</v>
      </c>
      <c r="AP34">
        <v>0</v>
      </c>
      <c r="AQ34">
        <v>21.6</v>
      </c>
      <c r="AR34">
        <v>0</v>
      </c>
      <c r="AS34">
        <v>0</v>
      </c>
      <c r="AT34">
        <v>131</v>
      </c>
      <c r="AU34">
        <v>54</v>
      </c>
      <c r="AV34">
        <v>1</v>
      </c>
      <c r="AW34">
        <v>1</v>
      </c>
      <c r="AZ34">
        <v>1</v>
      </c>
      <c r="BA34">
        <v>24.82</v>
      </c>
      <c r="BB34">
        <v>8.5</v>
      </c>
      <c r="BC34">
        <v>4.99</v>
      </c>
      <c r="BD34" t="s">
        <v>3</v>
      </c>
      <c r="BE34" t="s">
        <v>3</v>
      </c>
      <c r="BF34" t="s">
        <v>3</v>
      </c>
      <c r="BG34" t="s">
        <v>3</v>
      </c>
      <c r="BH34">
        <v>0</v>
      </c>
      <c r="BI34">
        <v>1</v>
      </c>
      <c r="BJ34" t="s">
        <v>52</v>
      </c>
      <c r="BM34">
        <v>146</v>
      </c>
      <c r="BN34">
        <v>0</v>
      </c>
      <c r="BO34" t="s">
        <v>50</v>
      </c>
      <c r="BP34">
        <v>1</v>
      </c>
      <c r="BQ34">
        <v>30</v>
      </c>
      <c r="BR34">
        <v>0</v>
      </c>
      <c r="BS34">
        <v>24.82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3</v>
      </c>
      <c r="BZ34">
        <v>131</v>
      </c>
      <c r="CA34">
        <v>54</v>
      </c>
      <c r="CE34">
        <v>30</v>
      </c>
      <c r="CF34">
        <v>0</v>
      </c>
      <c r="CG34">
        <v>0</v>
      </c>
      <c r="CM34">
        <v>0</v>
      </c>
      <c r="CN34" t="s">
        <v>3</v>
      </c>
      <c r="CO34">
        <v>0</v>
      </c>
      <c r="CP34">
        <f t="shared" si="41"/>
        <v>26654.77</v>
      </c>
      <c r="CQ34">
        <f t="shared" si="42"/>
        <v>246.96</v>
      </c>
      <c r="CR34">
        <f t="shared" si="43"/>
        <v>25709.7</v>
      </c>
      <c r="CS34">
        <f t="shared" si="44"/>
        <v>15691.2</v>
      </c>
      <c r="CT34">
        <f t="shared" si="45"/>
        <v>5639.85</v>
      </c>
      <c r="CU34">
        <f t="shared" si="46"/>
        <v>0</v>
      </c>
      <c r="CV34">
        <f t="shared" si="47"/>
        <v>21.6</v>
      </c>
      <c r="CW34">
        <f t="shared" si="48"/>
        <v>0</v>
      </c>
      <c r="CX34">
        <f t="shared" si="49"/>
        <v>0</v>
      </c>
      <c r="CY34">
        <f t="shared" si="50"/>
        <v>6232.6525000000001</v>
      </c>
      <c r="CZ34">
        <f t="shared" si="51"/>
        <v>2569.1849999999999</v>
      </c>
      <c r="DC34" t="s">
        <v>3</v>
      </c>
      <c r="DD34" t="s">
        <v>3</v>
      </c>
      <c r="DE34" t="s">
        <v>3</v>
      </c>
      <c r="DF34" t="s">
        <v>3</v>
      </c>
      <c r="DG34" t="s">
        <v>3</v>
      </c>
      <c r="DH34" t="s">
        <v>3</v>
      </c>
      <c r="DI34" t="s">
        <v>3</v>
      </c>
      <c r="DJ34" t="s">
        <v>3</v>
      </c>
      <c r="DK34" t="s">
        <v>3</v>
      </c>
      <c r="DL34" t="s">
        <v>3</v>
      </c>
      <c r="DM34" t="s">
        <v>3</v>
      </c>
      <c r="DN34">
        <v>161</v>
      </c>
      <c r="DO34">
        <v>107</v>
      </c>
      <c r="DP34">
        <v>1</v>
      </c>
      <c r="DQ34">
        <v>1</v>
      </c>
      <c r="DU34">
        <v>1013</v>
      </c>
      <c r="DV34" t="s">
        <v>40</v>
      </c>
      <c r="DW34" t="s">
        <v>40</v>
      </c>
      <c r="DX34">
        <v>1</v>
      </c>
      <c r="EE34">
        <v>33795580</v>
      </c>
      <c r="EF34">
        <v>30</v>
      </c>
      <c r="EG34" t="s">
        <v>20</v>
      </c>
      <c r="EH34">
        <v>0</v>
      </c>
      <c r="EI34" t="s">
        <v>3</v>
      </c>
      <c r="EJ34">
        <v>1</v>
      </c>
      <c r="EK34">
        <v>146</v>
      </c>
      <c r="EL34" t="s">
        <v>42</v>
      </c>
      <c r="EM34" t="s">
        <v>43</v>
      </c>
      <c r="EO34" t="s">
        <v>3</v>
      </c>
      <c r="EQ34">
        <v>131072</v>
      </c>
      <c r="ER34">
        <v>3301.39</v>
      </c>
      <c r="ES34">
        <v>49.49</v>
      </c>
      <c r="ET34">
        <v>3024.67</v>
      </c>
      <c r="EU34">
        <v>632.20000000000005</v>
      </c>
      <c r="EV34">
        <v>227.23</v>
      </c>
      <c r="EW34">
        <v>21.6</v>
      </c>
      <c r="EX34">
        <v>0</v>
      </c>
      <c r="EY34">
        <v>0</v>
      </c>
      <c r="FQ34">
        <v>0</v>
      </c>
      <c r="FR34">
        <f t="shared" si="52"/>
        <v>0</v>
      </c>
      <c r="FS34">
        <v>0</v>
      </c>
      <c r="FX34">
        <v>161</v>
      </c>
      <c r="FY34">
        <v>107</v>
      </c>
      <c r="GA34" t="s">
        <v>3</v>
      </c>
      <c r="GD34">
        <v>0</v>
      </c>
      <c r="GF34">
        <v>-668565501</v>
      </c>
      <c r="GG34">
        <v>2</v>
      </c>
      <c r="GH34">
        <v>1</v>
      </c>
      <c r="GI34">
        <v>2</v>
      </c>
      <c r="GJ34">
        <v>0</v>
      </c>
      <c r="GK34">
        <f>ROUND(R34*(R12)/100,2)</f>
        <v>20782.09</v>
      </c>
      <c r="GL34">
        <f t="shared" si="53"/>
        <v>0</v>
      </c>
      <c r="GM34">
        <f t="shared" si="54"/>
        <v>56238.7</v>
      </c>
      <c r="GN34">
        <f t="shared" si="55"/>
        <v>56238.7</v>
      </c>
      <c r="GO34">
        <f t="shared" si="56"/>
        <v>0</v>
      </c>
      <c r="GP34">
        <f t="shared" si="57"/>
        <v>0</v>
      </c>
      <c r="GR34">
        <v>0</v>
      </c>
      <c r="GS34">
        <v>0</v>
      </c>
      <c r="GT34">
        <v>0</v>
      </c>
      <c r="GU34" t="s">
        <v>3</v>
      </c>
      <c r="GV34">
        <f t="shared" si="58"/>
        <v>0</v>
      </c>
      <c r="GW34">
        <v>1</v>
      </c>
      <c r="GX34">
        <f t="shared" si="59"/>
        <v>0</v>
      </c>
      <c r="HA34">
        <v>0</v>
      </c>
      <c r="HB34">
        <v>0</v>
      </c>
      <c r="HC34">
        <f t="shared" si="60"/>
        <v>0</v>
      </c>
      <c r="IK34">
        <v>0</v>
      </c>
    </row>
    <row r="35" spans="1:245">
      <c r="A35">
        <v>18</v>
      </c>
      <c r="B35">
        <v>1</v>
      </c>
      <c r="C35">
        <v>25</v>
      </c>
      <c r="E35" t="s">
        <v>53</v>
      </c>
      <c r="F35" t="s">
        <v>54</v>
      </c>
      <c r="G35" t="s">
        <v>55</v>
      </c>
      <c r="H35" t="s">
        <v>47</v>
      </c>
      <c r="I35">
        <f>I34*J35</f>
        <v>106.2936</v>
      </c>
      <c r="J35">
        <v>126</v>
      </c>
      <c r="O35">
        <f t="shared" si="21"/>
        <v>192942.42</v>
      </c>
      <c r="P35">
        <f t="shared" si="22"/>
        <v>192942.42</v>
      </c>
      <c r="Q35">
        <f t="shared" si="23"/>
        <v>0</v>
      </c>
      <c r="R35">
        <f t="shared" si="24"/>
        <v>0</v>
      </c>
      <c r="S35">
        <f t="shared" si="25"/>
        <v>0</v>
      </c>
      <c r="T35">
        <f t="shared" si="26"/>
        <v>0</v>
      </c>
      <c r="U35">
        <f t="shared" si="27"/>
        <v>0</v>
      </c>
      <c r="V35">
        <f t="shared" si="28"/>
        <v>0</v>
      </c>
      <c r="W35">
        <f t="shared" si="29"/>
        <v>0</v>
      </c>
      <c r="X35">
        <f t="shared" si="30"/>
        <v>0</v>
      </c>
      <c r="Y35">
        <f t="shared" si="31"/>
        <v>0</v>
      </c>
      <c r="AA35">
        <v>33985563</v>
      </c>
      <c r="AB35">
        <f t="shared" si="32"/>
        <v>173.37</v>
      </c>
      <c r="AC35">
        <f t="shared" si="33"/>
        <v>173.37</v>
      </c>
      <c r="AD35">
        <f t="shared" si="34"/>
        <v>0</v>
      </c>
      <c r="AE35">
        <f t="shared" si="35"/>
        <v>0</v>
      </c>
      <c r="AF35">
        <f t="shared" si="36"/>
        <v>0</v>
      </c>
      <c r="AG35">
        <f t="shared" si="37"/>
        <v>0</v>
      </c>
      <c r="AH35">
        <f t="shared" si="38"/>
        <v>0</v>
      </c>
      <c r="AI35">
        <f t="shared" si="39"/>
        <v>0</v>
      </c>
      <c r="AJ35">
        <f t="shared" si="40"/>
        <v>0</v>
      </c>
      <c r="AK35">
        <v>173.37</v>
      </c>
      <c r="AL35">
        <v>173.37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10.47</v>
      </c>
      <c r="BD35" t="s">
        <v>3</v>
      </c>
      <c r="BE35" t="s">
        <v>3</v>
      </c>
      <c r="BF35" t="s">
        <v>3</v>
      </c>
      <c r="BG35" t="s">
        <v>3</v>
      </c>
      <c r="BH35">
        <v>3</v>
      </c>
      <c r="BI35">
        <v>1</v>
      </c>
      <c r="BJ35" t="s">
        <v>56</v>
      </c>
      <c r="BM35">
        <v>146</v>
      </c>
      <c r="BN35">
        <v>0</v>
      </c>
      <c r="BO35" t="s">
        <v>54</v>
      </c>
      <c r="BP35">
        <v>1</v>
      </c>
      <c r="BQ35">
        <v>30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0</v>
      </c>
      <c r="CA35">
        <v>0</v>
      </c>
      <c r="CE35">
        <v>30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41"/>
        <v>192942.42</v>
      </c>
      <c r="CQ35">
        <f t="shared" si="42"/>
        <v>1815.18</v>
      </c>
      <c r="CR35">
        <f t="shared" si="43"/>
        <v>0</v>
      </c>
      <c r="CS35">
        <f t="shared" si="44"/>
        <v>0</v>
      </c>
      <c r="CT35">
        <f t="shared" si="45"/>
        <v>0</v>
      </c>
      <c r="CU35">
        <f t="shared" si="46"/>
        <v>0</v>
      </c>
      <c r="CV35">
        <f t="shared" si="47"/>
        <v>0</v>
      </c>
      <c r="CW35">
        <f t="shared" si="48"/>
        <v>0</v>
      </c>
      <c r="CX35">
        <f t="shared" si="49"/>
        <v>0</v>
      </c>
      <c r="CY35">
        <f t="shared" si="50"/>
        <v>0</v>
      </c>
      <c r="CZ35">
        <f t="shared" si="51"/>
        <v>0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161</v>
      </c>
      <c r="DO35">
        <v>107</v>
      </c>
      <c r="DP35">
        <v>1</v>
      </c>
      <c r="DQ35">
        <v>1</v>
      </c>
      <c r="DU35">
        <v>1007</v>
      </c>
      <c r="DV35" t="s">
        <v>47</v>
      </c>
      <c r="DW35" t="s">
        <v>47</v>
      </c>
      <c r="DX35">
        <v>1</v>
      </c>
      <c r="EE35">
        <v>33795580</v>
      </c>
      <c r="EF35">
        <v>30</v>
      </c>
      <c r="EG35" t="s">
        <v>20</v>
      </c>
      <c r="EH35">
        <v>0</v>
      </c>
      <c r="EI35" t="s">
        <v>3</v>
      </c>
      <c r="EJ35">
        <v>1</v>
      </c>
      <c r="EK35">
        <v>146</v>
      </c>
      <c r="EL35" t="s">
        <v>42</v>
      </c>
      <c r="EM35" t="s">
        <v>43</v>
      </c>
      <c r="EO35" t="s">
        <v>3</v>
      </c>
      <c r="EQ35">
        <v>0</v>
      </c>
      <c r="ER35">
        <v>173.37</v>
      </c>
      <c r="ES35">
        <v>173.37</v>
      </c>
      <c r="ET35">
        <v>0</v>
      </c>
      <c r="EU35">
        <v>0</v>
      </c>
      <c r="EV35">
        <v>0</v>
      </c>
      <c r="EW35">
        <v>0</v>
      </c>
      <c r="EX35">
        <v>0</v>
      </c>
      <c r="FQ35">
        <v>0</v>
      </c>
      <c r="FR35">
        <f t="shared" si="52"/>
        <v>0</v>
      </c>
      <c r="FS35">
        <v>0</v>
      </c>
      <c r="FX35">
        <v>161</v>
      </c>
      <c r="FY35">
        <v>107</v>
      </c>
      <c r="GA35" t="s">
        <v>3</v>
      </c>
      <c r="GD35">
        <v>0</v>
      </c>
      <c r="GF35">
        <v>-820942871</v>
      </c>
      <c r="GG35">
        <v>2</v>
      </c>
      <c r="GH35">
        <v>1</v>
      </c>
      <c r="GI35">
        <v>2</v>
      </c>
      <c r="GJ35">
        <v>0</v>
      </c>
      <c r="GK35">
        <f>ROUND(R35*(R12)/100,2)</f>
        <v>0</v>
      </c>
      <c r="GL35">
        <f t="shared" si="53"/>
        <v>0</v>
      </c>
      <c r="GM35">
        <f t="shared" si="54"/>
        <v>192942.42</v>
      </c>
      <c r="GN35">
        <f t="shared" si="55"/>
        <v>192942.42</v>
      </c>
      <c r="GO35">
        <f t="shared" si="56"/>
        <v>0</v>
      </c>
      <c r="GP35">
        <f t="shared" si="57"/>
        <v>0</v>
      </c>
      <c r="GR35">
        <v>0</v>
      </c>
      <c r="GS35">
        <v>0</v>
      </c>
      <c r="GT35">
        <v>0</v>
      </c>
      <c r="GU35" t="s">
        <v>3</v>
      </c>
      <c r="GV35">
        <f t="shared" si="58"/>
        <v>0</v>
      </c>
      <c r="GW35">
        <v>1</v>
      </c>
      <c r="GX35">
        <f t="shared" si="59"/>
        <v>0</v>
      </c>
      <c r="HA35">
        <v>0</v>
      </c>
      <c r="HB35">
        <v>0</v>
      </c>
      <c r="HC35">
        <f t="shared" si="60"/>
        <v>0</v>
      </c>
      <c r="IK35">
        <v>0</v>
      </c>
    </row>
    <row r="36" spans="1:245">
      <c r="A36">
        <v>17</v>
      </c>
      <c r="B36">
        <v>1</v>
      </c>
      <c r="C36">
        <f>ROW(SmtRes!A29)</f>
        <v>29</v>
      </c>
      <c r="D36">
        <f>ROW(EtalonRes!A29)</f>
        <v>29</v>
      </c>
      <c r="E36" t="s">
        <v>57</v>
      </c>
      <c r="F36" t="s">
        <v>58</v>
      </c>
      <c r="G36" t="s">
        <v>59</v>
      </c>
      <c r="H36" t="s">
        <v>60</v>
      </c>
      <c r="I36">
        <f>ROUND(562.4/100,4)</f>
        <v>5.6239999999999997</v>
      </c>
      <c r="J36">
        <v>0</v>
      </c>
      <c r="O36">
        <f t="shared" si="21"/>
        <v>25438.39</v>
      </c>
      <c r="P36">
        <f t="shared" si="22"/>
        <v>7574.44</v>
      </c>
      <c r="Q36">
        <f t="shared" si="23"/>
        <v>2817.82</v>
      </c>
      <c r="R36">
        <f t="shared" si="24"/>
        <v>2264.08</v>
      </c>
      <c r="S36">
        <f t="shared" si="25"/>
        <v>15046.13</v>
      </c>
      <c r="T36">
        <f t="shared" si="26"/>
        <v>0</v>
      </c>
      <c r="U36">
        <f t="shared" si="27"/>
        <v>50.391040000000004</v>
      </c>
      <c r="V36">
        <f t="shared" si="28"/>
        <v>0</v>
      </c>
      <c r="W36">
        <f t="shared" si="29"/>
        <v>0</v>
      </c>
      <c r="X36">
        <f t="shared" si="30"/>
        <v>15948.9</v>
      </c>
      <c r="Y36">
        <f t="shared" si="31"/>
        <v>6168.91</v>
      </c>
      <c r="AA36">
        <v>33985563</v>
      </c>
      <c r="AB36">
        <f t="shared" si="32"/>
        <v>378.12</v>
      </c>
      <c r="AC36">
        <f t="shared" si="33"/>
        <v>210.11</v>
      </c>
      <c r="AD36">
        <f t="shared" si="34"/>
        <v>60.22</v>
      </c>
      <c r="AE36">
        <f t="shared" si="35"/>
        <v>16.22</v>
      </c>
      <c r="AF36">
        <f t="shared" si="36"/>
        <v>107.79</v>
      </c>
      <c r="AG36">
        <f t="shared" si="37"/>
        <v>0</v>
      </c>
      <c r="AH36">
        <f t="shared" si="38"/>
        <v>8.9600000000000009</v>
      </c>
      <c r="AI36">
        <f t="shared" si="39"/>
        <v>0</v>
      </c>
      <c r="AJ36">
        <f t="shared" si="40"/>
        <v>0</v>
      </c>
      <c r="AK36">
        <v>378.12</v>
      </c>
      <c r="AL36">
        <v>210.11</v>
      </c>
      <c r="AM36">
        <v>60.22</v>
      </c>
      <c r="AN36">
        <v>16.22</v>
      </c>
      <c r="AO36">
        <v>107.79</v>
      </c>
      <c r="AP36">
        <v>0</v>
      </c>
      <c r="AQ36">
        <v>8.9600000000000009</v>
      </c>
      <c r="AR36">
        <v>0</v>
      </c>
      <c r="AS36">
        <v>0</v>
      </c>
      <c r="AT36">
        <v>106</v>
      </c>
      <c r="AU36">
        <v>41</v>
      </c>
      <c r="AV36">
        <v>1</v>
      </c>
      <c r="AW36">
        <v>1</v>
      </c>
      <c r="AZ36">
        <v>1</v>
      </c>
      <c r="BA36">
        <v>24.82</v>
      </c>
      <c r="BB36">
        <v>8.32</v>
      </c>
      <c r="BC36">
        <v>6.41</v>
      </c>
      <c r="BD36" t="s">
        <v>3</v>
      </c>
      <c r="BE36" t="s">
        <v>3</v>
      </c>
      <c r="BF36" t="s">
        <v>3</v>
      </c>
      <c r="BG36" t="s">
        <v>3</v>
      </c>
      <c r="BH36">
        <v>0</v>
      </c>
      <c r="BI36">
        <v>1</v>
      </c>
      <c r="BJ36" t="s">
        <v>61</v>
      </c>
      <c r="BM36">
        <v>159</v>
      </c>
      <c r="BN36">
        <v>0</v>
      </c>
      <c r="BO36" t="s">
        <v>58</v>
      </c>
      <c r="BP36">
        <v>1</v>
      </c>
      <c r="BQ36">
        <v>30</v>
      </c>
      <c r="BR36">
        <v>0</v>
      </c>
      <c r="BS36">
        <v>24.82</v>
      </c>
      <c r="BT36">
        <v>1</v>
      </c>
      <c r="BU36">
        <v>1</v>
      </c>
      <c r="BV36">
        <v>1</v>
      </c>
      <c r="BW36">
        <v>1</v>
      </c>
      <c r="BX36">
        <v>1</v>
      </c>
      <c r="BY36" t="s">
        <v>3</v>
      </c>
      <c r="BZ36">
        <v>106</v>
      </c>
      <c r="CA36">
        <v>41</v>
      </c>
      <c r="CE36">
        <v>30</v>
      </c>
      <c r="CF36">
        <v>0</v>
      </c>
      <c r="CG36">
        <v>0</v>
      </c>
      <c r="CM36">
        <v>0</v>
      </c>
      <c r="CN36" t="s">
        <v>3</v>
      </c>
      <c r="CO36">
        <v>0</v>
      </c>
      <c r="CP36">
        <f t="shared" si="41"/>
        <v>25438.39</v>
      </c>
      <c r="CQ36">
        <f t="shared" si="42"/>
        <v>1346.81</v>
      </c>
      <c r="CR36">
        <f t="shared" si="43"/>
        <v>501.03</v>
      </c>
      <c r="CS36">
        <f t="shared" si="44"/>
        <v>402.58</v>
      </c>
      <c r="CT36">
        <f t="shared" si="45"/>
        <v>2675.35</v>
      </c>
      <c r="CU36">
        <f t="shared" si="46"/>
        <v>0</v>
      </c>
      <c r="CV36">
        <f t="shared" si="47"/>
        <v>8.9600000000000009</v>
      </c>
      <c r="CW36">
        <f t="shared" si="48"/>
        <v>0</v>
      </c>
      <c r="CX36">
        <f t="shared" si="49"/>
        <v>0</v>
      </c>
      <c r="CY36">
        <f t="shared" si="50"/>
        <v>15948.897800000001</v>
      </c>
      <c r="CZ36">
        <f t="shared" si="51"/>
        <v>6168.9132999999993</v>
      </c>
      <c r="DC36" t="s">
        <v>3</v>
      </c>
      <c r="DD36" t="s">
        <v>3</v>
      </c>
      <c r="DE36" t="s">
        <v>3</v>
      </c>
      <c r="DF36" t="s">
        <v>3</v>
      </c>
      <c r="DG36" t="s">
        <v>3</v>
      </c>
      <c r="DH36" t="s">
        <v>3</v>
      </c>
      <c r="DI36" t="s">
        <v>3</v>
      </c>
      <c r="DJ36" t="s">
        <v>3</v>
      </c>
      <c r="DK36" t="s">
        <v>3</v>
      </c>
      <c r="DL36" t="s">
        <v>3</v>
      </c>
      <c r="DM36" t="s">
        <v>3</v>
      </c>
      <c r="DN36">
        <v>134</v>
      </c>
      <c r="DO36">
        <v>83</v>
      </c>
      <c r="DP36">
        <v>1</v>
      </c>
      <c r="DQ36">
        <v>1</v>
      </c>
      <c r="DU36">
        <v>1013</v>
      </c>
      <c r="DV36" t="s">
        <v>60</v>
      </c>
      <c r="DW36" t="s">
        <v>60</v>
      </c>
      <c r="DX36">
        <v>1</v>
      </c>
      <c r="EE36">
        <v>33795593</v>
      </c>
      <c r="EF36">
        <v>30</v>
      </c>
      <c r="EG36" t="s">
        <v>20</v>
      </c>
      <c r="EH36">
        <v>0</v>
      </c>
      <c r="EI36" t="s">
        <v>3</v>
      </c>
      <c r="EJ36">
        <v>1</v>
      </c>
      <c r="EK36">
        <v>159</v>
      </c>
      <c r="EL36" t="s">
        <v>62</v>
      </c>
      <c r="EM36" t="s">
        <v>63</v>
      </c>
      <c r="EO36" t="s">
        <v>3</v>
      </c>
      <c r="EQ36">
        <v>131072</v>
      </c>
      <c r="ER36">
        <v>378.12</v>
      </c>
      <c r="ES36">
        <v>210.11</v>
      </c>
      <c r="ET36">
        <v>60.22</v>
      </c>
      <c r="EU36">
        <v>16.22</v>
      </c>
      <c r="EV36">
        <v>107.79</v>
      </c>
      <c r="EW36">
        <v>8.9600000000000009</v>
      </c>
      <c r="EX36">
        <v>0</v>
      </c>
      <c r="EY36">
        <v>0</v>
      </c>
      <c r="FQ36">
        <v>0</v>
      </c>
      <c r="FR36">
        <f t="shared" si="52"/>
        <v>0</v>
      </c>
      <c r="FS36">
        <v>0</v>
      </c>
      <c r="FX36">
        <v>134</v>
      </c>
      <c r="FY36">
        <v>83</v>
      </c>
      <c r="GA36" t="s">
        <v>3</v>
      </c>
      <c r="GD36">
        <v>0</v>
      </c>
      <c r="GF36">
        <v>-1628242315</v>
      </c>
      <c r="GG36">
        <v>2</v>
      </c>
      <c r="GH36">
        <v>1</v>
      </c>
      <c r="GI36">
        <v>2</v>
      </c>
      <c r="GJ36">
        <v>0</v>
      </c>
      <c r="GK36">
        <f>ROUND(R36*(R12)/100,2)</f>
        <v>3554.61</v>
      </c>
      <c r="GL36">
        <f t="shared" si="53"/>
        <v>0</v>
      </c>
      <c r="GM36">
        <f t="shared" si="54"/>
        <v>51110.81</v>
      </c>
      <c r="GN36">
        <f t="shared" si="55"/>
        <v>51110.81</v>
      </c>
      <c r="GO36">
        <f t="shared" si="56"/>
        <v>0</v>
      </c>
      <c r="GP36">
        <f t="shared" si="57"/>
        <v>0</v>
      </c>
      <c r="GR36">
        <v>0</v>
      </c>
      <c r="GS36">
        <v>0</v>
      </c>
      <c r="GT36">
        <v>0</v>
      </c>
      <c r="GU36" t="s">
        <v>3</v>
      </c>
      <c r="GV36">
        <f t="shared" si="58"/>
        <v>0</v>
      </c>
      <c r="GW36">
        <v>1</v>
      </c>
      <c r="GX36">
        <f t="shared" si="59"/>
        <v>0</v>
      </c>
      <c r="HA36">
        <v>0</v>
      </c>
      <c r="HB36">
        <v>0</v>
      </c>
      <c r="HC36">
        <f t="shared" si="60"/>
        <v>0</v>
      </c>
      <c r="IK36">
        <v>0</v>
      </c>
    </row>
    <row r="37" spans="1:245">
      <c r="A37">
        <v>18</v>
      </c>
      <c r="B37">
        <v>1</v>
      </c>
      <c r="C37">
        <v>29</v>
      </c>
      <c r="E37" t="s">
        <v>64</v>
      </c>
      <c r="F37" t="s">
        <v>65</v>
      </c>
      <c r="G37" t="s">
        <v>66</v>
      </c>
      <c r="H37" t="s">
        <v>67</v>
      </c>
      <c r="I37">
        <f>I36*J37</f>
        <v>62.671044000000002</v>
      </c>
      <c r="J37">
        <v>11.143500000000001</v>
      </c>
      <c r="O37">
        <f t="shared" si="21"/>
        <v>164396.84</v>
      </c>
      <c r="P37">
        <f t="shared" si="22"/>
        <v>164396.84</v>
      </c>
      <c r="Q37">
        <f t="shared" si="23"/>
        <v>0</v>
      </c>
      <c r="R37">
        <f t="shared" si="24"/>
        <v>0</v>
      </c>
      <c r="S37">
        <f t="shared" si="25"/>
        <v>0</v>
      </c>
      <c r="T37">
        <f t="shared" si="26"/>
        <v>0</v>
      </c>
      <c r="U37">
        <f t="shared" si="27"/>
        <v>0</v>
      </c>
      <c r="V37">
        <f t="shared" si="28"/>
        <v>0</v>
      </c>
      <c r="W37">
        <f t="shared" si="29"/>
        <v>0</v>
      </c>
      <c r="X37">
        <f t="shared" si="30"/>
        <v>0</v>
      </c>
      <c r="Y37">
        <f t="shared" si="31"/>
        <v>0</v>
      </c>
      <c r="AA37">
        <v>33985563</v>
      </c>
      <c r="AB37">
        <f t="shared" si="32"/>
        <v>317.95999999999998</v>
      </c>
      <c r="AC37">
        <f t="shared" si="33"/>
        <v>317.95999999999998</v>
      </c>
      <c r="AD37">
        <f t="shared" si="34"/>
        <v>0</v>
      </c>
      <c r="AE37">
        <f t="shared" si="35"/>
        <v>0</v>
      </c>
      <c r="AF37">
        <f t="shared" si="36"/>
        <v>0</v>
      </c>
      <c r="AG37">
        <f t="shared" si="37"/>
        <v>0</v>
      </c>
      <c r="AH37">
        <f t="shared" si="38"/>
        <v>0</v>
      </c>
      <c r="AI37">
        <f t="shared" si="39"/>
        <v>0</v>
      </c>
      <c r="AJ37">
        <f t="shared" si="40"/>
        <v>0</v>
      </c>
      <c r="AK37">
        <v>317.95999999999998</v>
      </c>
      <c r="AL37">
        <v>317.95999999999998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8.25</v>
      </c>
      <c r="BD37" t="s">
        <v>3</v>
      </c>
      <c r="BE37" t="s">
        <v>3</v>
      </c>
      <c r="BF37" t="s">
        <v>3</v>
      </c>
      <c r="BG37" t="s">
        <v>3</v>
      </c>
      <c r="BH37">
        <v>3</v>
      </c>
      <c r="BI37">
        <v>1</v>
      </c>
      <c r="BJ37" t="s">
        <v>68</v>
      </c>
      <c r="BM37">
        <v>159</v>
      </c>
      <c r="BN37">
        <v>0</v>
      </c>
      <c r="BO37" t="s">
        <v>65</v>
      </c>
      <c r="BP37">
        <v>1</v>
      </c>
      <c r="BQ37">
        <v>30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0</v>
      </c>
      <c r="CA37">
        <v>0</v>
      </c>
      <c r="CE37">
        <v>30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41"/>
        <v>164396.84</v>
      </c>
      <c r="CQ37">
        <f t="shared" si="42"/>
        <v>2623.17</v>
      </c>
      <c r="CR37">
        <f t="shared" si="43"/>
        <v>0</v>
      </c>
      <c r="CS37">
        <f t="shared" si="44"/>
        <v>0</v>
      </c>
      <c r="CT37">
        <f t="shared" si="45"/>
        <v>0</v>
      </c>
      <c r="CU37">
        <f t="shared" si="46"/>
        <v>0</v>
      </c>
      <c r="CV37">
        <f t="shared" si="47"/>
        <v>0</v>
      </c>
      <c r="CW37">
        <f t="shared" si="48"/>
        <v>0</v>
      </c>
      <c r="CX37">
        <f t="shared" si="49"/>
        <v>0</v>
      </c>
      <c r="CY37">
        <f t="shared" si="50"/>
        <v>0</v>
      </c>
      <c r="CZ37">
        <f t="shared" si="51"/>
        <v>0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134</v>
      </c>
      <c r="DO37">
        <v>83</v>
      </c>
      <c r="DP37">
        <v>1</v>
      </c>
      <c r="DQ37">
        <v>1</v>
      </c>
      <c r="DU37">
        <v>1009</v>
      </c>
      <c r="DV37" t="s">
        <v>67</v>
      </c>
      <c r="DW37" t="s">
        <v>67</v>
      </c>
      <c r="DX37">
        <v>1000</v>
      </c>
      <c r="EE37">
        <v>33795593</v>
      </c>
      <c r="EF37">
        <v>30</v>
      </c>
      <c r="EG37" t="s">
        <v>20</v>
      </c>
      <c r="EH37">
        <v>0</v>
      </c>
      <c r="EI37" t="s">
        <v>3</v>
      </c>
      <c r="EJ37">
        <v>1</v>
      </c>
      <c r="EK37">
        <v>159</v>
      </c>
      <c r="EL37" t="s">
        <v>62</v>
      </c>
      <c r="EM37" t="s">
        <v>63</v>
      </c>
      <c r="EO37" t="s">
        <v>3</v>
      </c>
      <c r="EQ37">
        <v>0</v>
      </c>
      <c r="ER37">
        <v>317.95999999999998</v>
      </c>
      <c r="ES37">
        <v>317.95999999999998</v>
      </c>
      <c r="ET37">
        <v>0</v>
      </c>
      <c r="EU37">
        <v>0</v>
      </c>
      <c r="EV37">
        <v>0</v>
      </c>
      <c r="EW37">
        <v>0</v>
      </c>
      <c r="EX37">
        <v>0</v>
      </c>
      <c r="FQ37">
        <v>0</v>
      </c>
      <c r="FR37">
        <f t="shared" si="52"/>
        <v>0</v>
      </c>
      <c r="FS37">
        <v>0</v>
      </c>
      <c r="FX37">
        <v>134</v>
      </c>
      <c r="FY37">
        <v>83</v>
      </c>
      <c r="GA37" t="s">
        <v>3</v>
      </c>
      <c r="GD37">
        <v>0</v>
      </c>
      <c r="GF37">
        <v>-956564323</v>
      </c>
      <c r="GG37">
        <v>2</v>
      </c>
      <c r="GH37">
        <v>1</v>
      </c>
      <c r="GI37">
        <v>2</v>
      </c>
      <c r="GJ37">
        <v>0</v>
      </c>
      <c r="GK37">
        <f>ROUND(R37*(R12)/100,2)</f>
        <v>0</v>
      </c>
      <c r="GL37">
        <f t="shared" si="53"/>
        <v>0</v>
      </c>
      <c r="GM37">
        <f t="shared" si="54"/>
        <v>164396.84</v>
      </c>
      <c r="GN37">
        <f t="shared" si="55"/>
        <v>164396.84</v>
      </c>
      <c r="GO37">
        <f t="shared" si="56"/>
        <v>0</v>
      </c>
      <c r="GP37">
        <f t="shared" si="57"/>
        <v>0</v>
      </c>
      <c r="GR37">
        <v>0</v>
      </c>
      <c r="GS37">
        <v>0</v>
      </c>
      <c r="GT37">
        <v>0</v>
      </c>
      <c r="GU37" t="s">
        <v>3</v>
      </c>
      <c r="GV37">
        <f t="shared" si="58"/>
        <v>0</v>
      </c>
      <c r="GW37">
        <v>1</v>
      </c>
      <c r="GX37">
        <f t="shared" si="59"/>
        <v>0</v>
      </c>
      <c r="HA37">
        <v>0</v>
      </c>
      <c r="HB37">
        <v>0</v>
      </c>
      <c r="HC37">
        <f t="shared" si="60"/>
        <v>0</v>
      </c>
      <c r="IK37">
        <v>0</v>
      </c>
    </row>
    <row r="39" spans="1:245">
      <c r="A39" s="2">
        <v>51</v>
      </c>
      <c r="B39" s="2">
        <f>B24</f>
        <v>1</v>
      </c>
      <c r="C39" s="2">
        <f>A24</f>
        <v>4</v>
      </c>
      <c r="D39" s="2">
        <f>ROW(A24)</f>
        <v>24</v>
      </c>
      <c r="E39" s="2"/>
      <c r="F39" s="2" t="str">
        <f>IF(F24&lt;&gt;"",F24,"")</f>
        <v>Новый раздел</v>
      </c>
      <c r="G39" s="2" t="str">
        <f>IF(G24&lt;&gt;"",G24,"")</f>
        <v>10.1. Устройство новых оснований площадок (Корт)</v>
      </c>
      <c r="H39" s="2">
        <v>0</v>
      </c>
      <c r="I39" s="2"/>
      <c r="J39" s="2"/>
      <c r="K39" s="2"/>
      <c r="L39" s="2"/>
      <c r="M39" s="2"/>
      <c r="N39" s="2"/>
      <c r="O39" s="2">
        <f t="shared" ref="O39:T39" si="61">ROUND(AB39,2)</f>
        <v>533250.52</v>
      </c>
      <c r="P39" s="2">
        <f t="shared" si="61"/>
        <v>433648.88</v>
      </c>
      <c r="Q39" s="2">
        <f t="shared" si="61"/>
        <v>61713.66</v>
      </c>
      <c r="R39" s="2">
        <f t="shared" si="61"/>
        <v>32908.089999999997</v>
      </c>
      <c r="S39" s="2">
        <f t="shared" si="61"/>
        <v>37887.980000000003</v>
      </c>
      <c r="T39" s="2">
        <f t="shared" si="61"/>
        <v>0</v>
      </c>
      <c r="U39" s="2">
        <f>AH39</f>
        <v>137.86176438400003</v>
      </c>
      <c r="V39" s="2">
        <f>AI39</f>
        <v>0</v>
      </c>
      <c r="W39" s="2">
        <f>ROUND(AJ39,2)</f>
        <v>0</v>
      </c>
      <c r="X39" s="2">
        <f>ROUND(AK39,2)</f>
        <v>39541.54</v>
      </c>
      <c r="Y39" s="2">
        <f>ROUND(AL39,2)</f>
        <v>16829.61</v>
      </c>
      <c r="Z39" s="2"/>
      <c r="AA39" s="2"/>
      <c r="AB39" s="2">
        <f>ROUND(SUMIF(AA28:AA37,"=33985563",O28:O37),2)</f>
        <v>533250.52</v>
      </c>
      <c r="AC39" s="2">
        <f>ROUND(SUMIF(AA28:AA37,"=33985563",P28:P37),2)</f>
        <v>433648.88</v>
      </c>
      <c r="AD39" s="2">
        <f>ROUND(SUMIF(AA28:AA37,"=33985563",Q28:Q37),2)</f>
        <v>61713.66</v>
      </c>
      <c r="AE39" s="2">
        <f>ROUND(SUMIF(AA28:AA37,"=33985563",R28:R37),2)</f>
        <v>32908.089999999997</v>
      </c>
      <c r="AF39" s="2">
        <f>ROUND(SUMIF(AA28:AA37,"=33985563",S28:S37),2)</f>
        <v>37887.980000000003</v>
      </c>
      <c r="AG39" s="2">
        <f>ROUND(SUMIF(AA28:AA37,"=33985563",T28:T37),2)</f>
        <v>0</v>
      </c>
      <c r="AH39" s="2">
        <f>SUMIF(AA28:AA37,"=33985563",U28:U37)</f>
        <v>137.86176438400003</v>
      </c>
      <c r="AI39" s="2">
        <f>SUMIF(AA28:AA37,"=33985563",V28:V37)</f>
        <v>0</v>
      </c>
      <c r="AJ39" s="2">
        <f>ROUND(SUMIF(AA28:AA37,"=33985563",W28:W37),2)</f>
        <v>0</v>
      </c>
      <c r="AK39" s="2">
        <f>ROUND(SUMIF(AA28:AA37,"=33985563",X28:X37),2)</f>
        <v>39541.54</v>
      </c>
      <c r="AL39" s="2">
        <f>ROUND(SUMIF(AA28:AA37,"=33985563",Y28:Y37),2)</f>
        <v>16829.61</v>
      </c>
      <c r="AM39" s="2"/>
      <c r="AN39" s="2"/>
      <c r="AO39" s="2">
        <f t="shared" ref="AO39:BD39" si="62">ROUND(BX39,2)</f>
        <v>0</v>
      </c>
      <c r="AP39" s="2">
        <f t="shared" si="62"/>
        <v>0</v>
      </c>
      <c r="AQ39" s="2">
        <f t="shared" si="62"/>
        <v>0</v>
      </c>
      <c r="AR39" s="2">
        <f t="shared" si="62"/>
        <v>641287.38</v>
      </c>
      <c r="AS39" s="2">
        <f t="shared" si="62"/>
        <v>641287.38</v>
      </c>
      <c r="AT39" s="2">
        <f t="shared" si="62"/>
        <v>0</v>
      </c>
      <c r="AU39" s="2">
        <f t="shared" si="62"/>
        <v>0</v>
      </c>
      <c r="AV39" s="2">
        <f t="shared" si="62"/>
        <v>433648.88</v>
      </c>
      <c r="AW39" s="2">
        <f t="shared" si="62"/>
        <v>433648.88</v>
      </c>
      <c r="AX39" s="2">
        <f t="shared" si="62"/>
        <v>0</v>
      </c>
      <c r="AY39" s="2">
        <f t="shared" si="62"/>
        <v>433648.88</v>
      </c>
      <c r="AZ39" s="2">
        <f t="shared" si="62"/>
        <v>0</v>
      </c>
      <c r="BA39" s="2">
        <f t="shared" si="62"/>
        <v>0</v>
      </c>
      <c r="BB39" s="2">
        <f t="shared" si="62"/>
        <v>0</v>
      </c>
      <c r="BC39" s="2">
        <f t="shared" si="62"/>
        <v>0</v>
      </c>
      <c r="BD39" s="2">
        <f t="shared" si="62"/>
        <v>0</v>
      </c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>
        <f>ROUND(SUMIF(AA28:AA37,"=33985563",FQ28:FQ37),2)</f>
        <v>0</v>
      </c>
      <c r="BY39" s="2">
        <f>ROUND(SUMIF(AA28:AA37,"=33985563",FR28:FR37),2)</f>
        <v>0</v>
      </c>
      <c r="BZ39" s="2">
        <f>ROUND(SUMIF(AA28:AA37,"=33985563",GL28:GL37),2)</f>
        <v>0</v>
      </c>
      <c r="CA39" s="2">
        <f>ROUND(SUMIF(AA28:AA37,"=33985563",GM28:GM37),2)</f>
        <v>641287.38</v>
      </c>
      <c r="CB39" s="2">
        <f>ROUND(SUMIF(AA28:AA37,"=33985563",GN28:GN37),2)</f>
        <v>641287.38</v>
      </c>
      <c r="CC39" s="2">
        <f>ROUND(SUMIF(AA28:AA37,"=33985563",GO28:GO37),2)</f>
        <v>0</v>
      </c>
      <c r="CD39" s="2">
        <f>ROUND(SUMIF(AA28:AA37,"=33985563",GP28:GP37),2)</f>
        <v>0</v>
      </c>
      <c r="CE39" s="2">
        <f>AC39-BX39</f>
        <v>433648.88</v>
      </c>
      <c r="CF39" s="2">
        <f>AC39-BY39</f>
        <v>433648.88</v>
      </c>
      <c r="CG39" s="2">
        <f>BX39-BZ39</f>
        <v>0</v>
      </c>
      <c r="CH39" s="2">
        <f>AC39-BX39-BY39+BZ39</f>
        <v>433648.88</v>
      </c>
      <c r="CI39" s="2">
        <f>BY39-BZ39</f>
        <v>0</v>
      </c>
      <c r="CJ39" s="2">
        <f>ROUND(SUMIF(AA28:AA37,"=33985563",GX28:GX37),2)</f>
        <v>0</v>
      </c>
      <c r="CK39" s="2">
        <f>ROUND(SUMIF(AA28:AA37,"=33985563",GY28:GY37),2)</f>
        <v>0</v>
      </c>
      <c r="CL39" s="2">
        <f>ROUND(SUMIF(AA28:AA37,"=33985563",GZ28:GZ37),2)</f>
        <v>0</v>
      </c>
      <c r="CM39" s="2">
        <f>ROUND(SUMIF(AA28:AA37,"=33985563",HD28:HD37),2)</f>
        <v>0</v>
      </c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>
        <v>0</v>
      </c>
    </row>
    <row r="41" spans="1:245">
      <c r="A41" s="4">
        <v>50</v>
      </c>
      <c r="B41" s="4">
        <v>0</v>
      </c>
      <c r="C41" s="4">
        <v>0</v>
      </c>
      <c r="D41" s="4">
        <v>1</v>
      </c>
      <c r="E41" s="4">
        <v>201</v>
      </c>
      <c r="F41" s="4">
        <f>ROUND(Source!O39,O41)</f>
        <v>533250.52</v>
      </c>
      <c r="G41" s="4" t="s">
        <v>69</v>
      </c>
      <c r="H41" s="4" t="s">
        <v>70</v>
      </c>
      <c r="I41" s="4"/>
      <c r="J41" s="4"/>
      <c r="K41" s="4">
        <v>201</v>
      </c>
      <c r="L41" s="4">
        <v>1</v>
      </c>
      <c r="M41" s="4">
        <v>3</v>
      </c>
      <c r="N41" s="4" t="s">
        <v>3</v>
      </c>
      <c r="O41" s="4">
        <v>2</v>
      </c>
      <c r="P41" s="4"/>
      <c r="Q41" s="4"/>
      <c r="R41" s="4"/>
      <c r="S41" s="4"/>
      <c r="T41" s="4"/>
      <c r="U41" s="4"/>
      <c r="V41" s="4"/>
      <c r="W41" s="4"/>
    </row>
    <row r="42" spans="1:245">
      <c r="A42" s="4">
        <v>50</v>
      </c>
      <c r="B42" s="4">
        <v>0</v>
      </c>
      <c r="C42" s="4">
        <v>0</v>
      </c>
      <c r="D42" s="4">
        <v>1</v>
      </c>
      <c r="E42" s="4">
        <v>202</v>
      </c>
      <c r="F42" s="4">
        <f>ROUND(Source!P39,O42)</f>
        <v>433648.88</v>
      </c>
      <c r="G42" s="4" t="s">
        <v>71</v>
      </c>
      <c r="H42" s="4" t="s">
        <v>72</v>
      </c>
      <c r="I42" s="4"/>
      <c r="J42" s="4"/>
      <c r="K42" s="4">
        <v>202</v>
      </c>
      <c r="L42" s="4">
        <v>2</v>
      </c>
      <c r="M42" s="4">
        <v>3</v>
      </c>
      <c r="N42" s="4" t="s">
        <v>3</v>
      </c>
      <c r="O42" s="4">
        <v>2</v>
      </c>
      <c r="P42" s="4"/>
      <c r="Q42" s="4"/>
      <c r="R42" s="4"/>
      <c r="S42" s="4"/>
      <c r="T42" s="4"/>
      <c r="U42" s="4"/>
      <c r="V42" s="4"/>
      <c r="W42" s="4"/>
    </row>
    <row r="43" spans="1:245">
      <c r="A43" s="4">
        <v>50</v>
      </c>
      <c r="B43" s="4">
        <v>0</v>
      </c>
      <c r="C43" s="4">
        <v>0</v>
      </c>
      <c r="D43" s="4">
        <v>1</v>
      </c>
      <c r="E43" s="4">
        <v>222</v>
      </c>
      <c r="F43" s="4">
        <f>ROUND(Source!AO39,O43)</f>
        <v>0</v>
      </c>
      <c r="G43" s="4" t="s">
        <v>73</v>
      </c>
      <c r="H43" s="4" t="s">
        <v>74</v>
      </c>
      <c r="I43" s="4"/>
      <c r="J43" s="4"/>
      <c r="K43" s="4">
        <v>222</v>
      </c>
      <c r="L43" s="4">
        <v>3</v>
      </c>
      <c r="M43" s="4">
        <v>3</v>
      </c>
      <c r="N43" s="4" t="s">
        <v>3</v>
      </c>
      <c r="O43" s="4">
        <v>2</v>
      </c>
      <c r="P43" s="4"/>
      <c r="Q43" s="4"/>
      <c r="R43" s="4"/>
      <c r="S43" s="4"/>
      <c r="T43" s="4"/>
      <c r="U43" s="4"/>
      <c r="V43" s="4"/>
      <c r="W43" s="4"/>
    </row>
    <row r="44" spans="1:245">
      <c r="A44" s="4">
        <v>50</v>
      </c>
      <c r="B44" s="4">
        <v>0</v>
      </c>
      <c r="C44" s="4">
        <v>0</v>
      </c>
      <c r="D44" s="4">
        <v>1</v>
      </c>
      <c r="E44" s="4">
        <v>225</v>
      </c>
      <c r="F44" s="4">
        <f>ROUND(Source!AV39,O44)</f>
        <v>433648.88</v>
      </c>
      <c r="G44" s="4" t="s">
        <v>75</v>
      </c>
      <c r="H44" s="4" t="s">
        <v>76</v>
      </c>
      <c r="I44" s="4"/>
      <c r="J44" s="4"/>
      <c r="K44" s="4">
        <v>225</v>
      </c>
      <c r="L44" s="4">
        <v>4</v>
      </c>
      <c r="M44" s="4">
        <v>3</v>
      </c>
      <c r="N44" s="4" t="s">
        <v>3</v>
      </c>
      <c r="O44" s="4">
        <v>2</v>
      </c>
      <c r="P44" s="4"/>
      <c r="Q44" s="4"/>
      <c r="R44" s="4"/>
      <c r="S44" s="4"/>
      <c r="T44" s="4"/>
      <c r="U44" s="4"/>
      <c r="V44" s="4"/>
      <c r="W44" s="4"/>
    </row>
    <row r="45" spans="1:245">
      <c r="A45" s="4">
        <v>50</v>
      </c>
      <c r="B45" s="4">
        <v>0</v>
      </c>
      <c r="C45" s="4">
        <v>0</v>
      </c>
      <c r="D45" s="4">
        <v>1</v>
      </c>
      <c r="E45" s="4">
        <v>226</v>
      </c>
      <c r="F45" s="4">
        <f>ROUND(Source!AW39,O45)</f>
        <v>433648.88</v>
      </c>
      <c r="G45" s="4" t="s">
        <v>77</v>
      </c>
      <c r="H45" s="4" t="s">
        <v>78</v>
      </c>
      <c r="I45" s="4"/>
      <c r="J45" s="4"/>
      <c r="K45" s="4">
        <v>226</v>
      </c>
      <c r="L45" s="4">
        <v>5</v>
      </c>
      <c r="M45" s="4">
        <v>3</v>
      </c>
      <c r="N45" s="4" t="s">
        <v>3</v>
      </c>
      <c r="O45" s="4">
        <v>2</v>
      </c>
      <c r="P45" s="4"/>
      <c r="Q45" s="4"/>
      <c r="R45" s="4"/>
      <c r="S45" s="4"/>
      <c r="T45" s="4"/>
      <c r="U45" s="4"/>
      <c r="V45" s="4"/>
      <c r="W45" s="4"/>
    </row>
    <row r="46" spans="1:245">
      <c r="A46" s="4">
        <v>50</v>
      </c>
      <c r="B46" s="4">
        <v>0</v>
      </c>
      <c r="C46" s="4">
        <v>0</v>
      </c>
      <c r="D46" s="4">
        <v>1</v>
      </c>
      <c r="E46" s="4">
        <v>227</v>
      </c>
      <c r="F46" s="4">
        <f>ROUND(Source!AX39,O46)</f>
        <v>0</v>
      </c>
      <c r="G46" s="4" t="s">
        <v>79</v>
      </c>
      <c r="H46" s="4" t="s">
        <v>80</v>
      </c>
      <c r="I46" s="4"/>
      <c r="J46" s="4"/>
      <c r="K46" s="4">
        <v>227</v>
      </c>
      <c r="L46" s="4">
        <v>6</v>
      </c>
      <c r="M46" s="4">
        <v>3</v>
      </c>
      <c r="N46" s="4" t="s">
        <v>3</v>
      </c>
      <c r="O46" s="4">
        <v>2</v>
      </c>
      <c r="P46" s="4"/>
      <c r="Q46" s="4"/>
      <c r="R46" s="4"/>
      <c r="S46" s="4"/>
      <c r="T46" s="4"/>
      <c r="U46" s="4"/>
      <c r="V46" s="4"/>
      <c r="W46" s="4"/>
    </row>
    <row r="47" spans="1:245">
      <c r="A47" s="4">
        <v>50</v>
      </c>
      <c r="B47" s="4">
        <v>0</v>
      </c>
      <c r="C47" s="4">
        <v>0</v>
      </c>
      <c r="D47" s="4">
        <v>1</v>
      </c>
      <c r="E47" s="4">
        <v>228</v>
      </c>
      <c r="F47" s="4">
        <f>ROUND(Source!AY39,O47)</f>
        <v>433648.88</v>
      </c>
      <c r="G47" s="4" t="s">
        <v>81</v>
      </c>
      <c r="H47" s="4" t="s">
        <v>82</v>
      </c>
      <c r="I47" s="4"/>
      <c r="J47" s="4"/>
      <c r="K47" s="4">
        <v>228</v>
      </c>
      <c r="L47" s="4">
        <v>7</v>
      </c>
      <c r="M47" s="4">
        <v>3</v>
      </c>
      <c r="N47" s="4" t="s">
        <v>3</v>
      </c>
      <c r="O47" s="4">
        <v>2</v>
      </c>
      <c r="P47" s="4"/>
      <c r="Q47" s="4"/>
      <c r="R47" s="4"/>
      <c r="S47" s="4"/>
      <c r="T47" s="4"/>
      <c r="U47" s="4"/>
      <c r="V47" s="4"/>
      <c r="W47" s="4"/>
    </row>
    <row r="48" spans="1:245">
      <c r="A48" s="4">
        <v>50</v>
      </c>
      <c r="B48" s="4">
        <v>0</v>
      </c>
      <c r="C48" s="4">
        <v>0</v>
      </c>
      <c r="D48" s="4">
        <v>1</v>
      </c>
      <c r="E48" s="4">
        <v>216</v>
      </c>
      <c r="F48" s="4">
        <f>ROUND(Source!AP39,O48)</f>
        <v>0</v>
      </c>
      <c r="G48" s="4" t="s">
        <v>83</v>
      </c>
      <c r="H48" s="4" t="s">
        <v>84</v>
      </c>
      <c r="I48" s="4"/>
      <c r="J48" s="4"/>
      <c r="K48" s="4">
        <v>216</v>
      </c>
      <c r="L48" s="4">
        <v>8</v>
      </c>
      <c r="M48" s="4">
        <v>3</v>
      </c>
      <c r="N48" s="4" t="s">
        <v>3</v>
      </c>
      <c r="O48" s="4">
        <v>2</v>
      </c>
      <c r="P48" s="4"/>
      <c r="Q48" s="4"/>
      <c r="R48" s="4"/>
      <c r="S48" s="4"/>
      <c r="T48" s="4"/>
      <c r="U48" s="4"/>
      <c r="V48" s="4"/>
      <c r="W48" s="4"/>
    </row>
    <row r="49" spans="1:23">
      <c r="A49" s="4">
        <v>50</v>
      </c>
      <c r="B49" s="4">
        <v>0</v>
      </c>
      <c r="C49" s="4">
        <v>0</v>
      </c>
      <c r="D49" s="4">
        <v>1</v>
      </c>
      <c r="E49" s="4">
        <v>223</v>
      </c>
      <c r="F49" s="4">
        <f>ROUND(Source!AQ39,O49)</f>
        <v>0</v>
      </c>
      <c r="G49" s="4" t="s">
        <v>85</v>
      </c>
      <c r="H49" s="4" t="s">
        <v>86</v>
      </c>
      <c r="I49" s="4"/>
      <c r="J49" s="4"/>
      <c r="K49" s="4">
        <v>223</v>
      </c>
      <c r="L49" s="4">
        <v>9</v>
      </c>
      <c r="M49" s="4">
        <v>3</v>
      </c>
      <c r="N49" s="4" t="s">
        <v>3</v>
      </c>
      <c r="O49" s="4">
        <v>2</v>
      </c>
      <c r="P49" s="4"/>
      <c r="Q49" s="4"/>
      <c r="R49" s="4"/>
      <c r="S49" s="4"/>
      <c r="T49" s="4"/>
      <c r="U49" s="4"/>
      <c r="V49" s="4"/>
      <c r="W49" s="4"/>
    </row>
    <row r="50" spans="1:23">
      <c r="A50" s="4">
        <v>50</v>
      </c>
      <c r="B50" s="4">
        <v>0</v>
      </c>
      <c r="C50" s="4">
        <v>0</v>
      </c>
      <c r="D50" s="4">
        <v>1</v>
      </c>
      <c r="E50" s="4">
        <v>229</v>
      </c>
      <c r="F50" s="4">
        <f>ROUND(Source!AZ39,O50)</f>
        <v>0</v>
      </c>
      <c r="G50" s="4" t="s">
        <v>87</v>
      </c>
      <c r="H50" s="4" t="s">
        <v>88</v>
      </c>
      <c r="I50" s="4"/>
      <c r="J50" s="4"/>
      <c r="K50" s="4">
        <v>229</v>
      </c>
      <c r="L50" s="4">
        <v>10</v>
      </c>
      <c r="M50" s="4">
        <v>3</v>
      </c>
      <c r="N50" s="4" t="s">
        <v>3</v>
      </c>
      <c r="O50" s="4">
        <v>2</v>
      </c>
      <c r="P50" s="4"/>
      <c r="Q50" s="4"/>
      <c r="R50" s="4"/>
      <c r="S50" s="4"/>
      <c r="T50" s="4"/>
      <c r="U50" s="4"/>
      <c r="V50" s="4"/>
      <c r="W50" s="4"/>
    </row>
    <row r="51" spans="1:23">
      <c r="A51" s="4">
        <v>50</v>
      </c>
      <c r="B51" s="4">
        <v>0</v>
      </c>
      <c r="C51" s="4">
        <v>0</v>
      </c>
      <c r="D51" s="4">
        <v>1</v>
      </c>
      <c r="E51" s="4">
        <v>203</v>
      </c>
      <c r="F51" s="4">
        <f>ROUND(Source!Q39,O51)</f>
        <v>61713.66</v>
      </c>
      <c r="G51" s="4" t="s">
        <v>89</v>
      </c>
      <c r="H51" s="4" t="s">
        <v>90</v>
      </c>
      <c r="I51" s="4"/>
      <c r="J51" s="4"/>
      <c r="K51" s="4">
        <v>203</v>
      </c>
      <c r="L51" s="4">
        <v>11</v>
      </c>
      <c r="M51" s="4">
        <v>3</v>
      </c>
      <c r="N51" s="4" t="s">
        <v>3</v>
      </c>
      <c r="O51" s="4">
        <v>2</v>
      </c>
      <c r="P51" s="4"/>
      <c r="Q51" s="4"/>
      <c r="R51" s="4"/>
      <c r="S51" s="4"/>
      <c r="T51" s="4"/>
      <c r="U51" s="4"/>
      <c r="V51" s="4"/>
      <c r="W51" s="4"/>
    </row>
    <row r="52" spans="1:23">
      <c r="A52" s="4">
        <v>50</v>
      </c>
      <c r="B52" s="4">
        <v>0</v>
      </c>
      <c r="C52" s="4">
        <v>0</v>
      </c>
      <c r="D52" s="4">
        <v>1</v>
      </c>
      <c r="E52" s="4">
        <v>231</v>
      </c>
      <c r="F52" s="4">
        <f>ROUND(Source!BB39,O52)</f>
        <v>0</v>
      </c>
      <c r="G52" s="4" t="s">
        <v>91</v>
      </c>
      <c r="H52" s="4" t="s">
        <v>92</v>
      </c>
      <c r="I52" s="4"/>
      <c r="J52" s="4"/>
      <c r="K52" s="4">
        <v>231</v>
      </c>
      <c r="L52" s="4">
        <v>12</v>
      </c>
      <c r="M52" s="4">
        <v>3</v>
      </c>
      <c r="N52" s="4" t="s">
        <v>3</v>
      </c>
      <c r="O52" s="4">
        <v>2</v>
      </c>
      <c r="P52" s="4"/>
      <c r="Q52" s="4"/>
      <c r="R52" s="4"/>
      <c r="S52" s="4"/>
      <c r="T52" s="4"/>
      <c r="U52" s="4"/>
      <c r="V52" s="4"/>
      <c r="W52" s="4"/>
    </row>
    <row r="53" spans="1:23">
      <c r="A53" s="4">
        <v>50</v>
      </c>
      <c r="B53" s="4">
        <v>0</v>
      </c>
      <c r="C53" s="4">
        <v>0</v>
      </c>
      <c r="D53" s="4">
        <v>1</v>
      </c>
      <c r="E53" s="4">
        <v>204</v>
      </c>
      <c r="F53" s="4">
        <f>ROUND(Source!R39,O53)</f>
        <v>32908.089999999997</v>
      </c>
      <c r="G53" s="4" t="s">
        <v>93</v>
      </c>
      <c r="H53" s="4" t="s">
        <v>94</v>
      </c>
      <c r="I53" s="4"/>
      <c r="J53" s="4"/>
      <c r="K53" s="4">
        <v>204</v>
      </c>
      <c r="L53" s="4">
        <v>13</v>
      </c>
      <c r="M53" s="4">
        <v>3</v>
      </c>
      <c r="N53" s="4" t="s">
        <v>3</v>
      </c>
      <c r="O53" s="4">
        <v>2</v>
      </c>
      <c r="P53" s="4"/>
      <c r="Q53" s="4"/>
      <c r="R53" s="4"/>
      <c r="S53" s="4"/>
      <c r="T53" s="4"/>
      <c r="U53" s="4"/>
      <c r="V53" s="4"/>
      <c r="W53" s="4"/>
    </row>
    <row r="54" spans="1:23">
      <c r="A54" s="4">
        <v>50</v>
      </c>
      <c r="B54" s="4">
        <v>0</v>
      </c>
      <c r="C54" s="4">
        <v>0</v>
      </c>
      <c r="D54" s="4">
        <v>1</v>
      </c>
      <c r="E54" s="4">
        <v>205</v>
      </c>
      <c r="F54" s="4">
        <f>ROUND(Source!S39,O54)</f>
        <v>37887.980000000003</v>
      </c>
      <c r="G54" s="4" t="s">
        <v>95</v>
      </c>
      <c r="H54" s="4" t="s">
        <v>96</v>
      </c>
      <c r="I54" s="4"/>
      <c r="J54" s="4"/>
      <c r="K54" s="4">
        <v>205</v>
      </c>
      <c r="L54" s="4">
        <v>14</v>
      </c>
      <c r="M54" s="4">
        <v>3</v>
      </c>
      <c r="N54" s="4" t="s">
        <v>3</v>
      </c>
      <c r="O54" s="4">
        <v>2</v>
      </c>
      <c r="P54" s="4"/>
      <c r="Q54" s="4"/>
      <c r="R54" s="4"/>
      <c r="S54" s="4"/>
      <c r="T54" s="4"/>
      <c r="U54" s="4"/>
      <c r="V54" s="4"/>
      <c r="W54" s="4"/>
    </row>
    <row r="55" spans="1:23">
      <c r="A55" s="4">
        <v>50</v>
      </c>
      <c r="B55" s="4">
        <v>0</v>
      </c>
      <c r="C55" s="4">
        <v>0</v>
      </c>
      <c r="D55" s="4">
        <v>1</v>
      </c>
      <c r="E55" s="4">
        <v>232</v>
      </c>
      <c r="F55" s="4">
        <f>ROUND(Source!BC39,O55)</f>
        <v>0</v>
      </c>
      <c r="G55" s="4" t="s">
        <v>97</v>
      </c>
      <c r="H55" s="4" t="s">
        <v>98</v>
      </c>
      <c r="I55" s="4"/>
      <c r="J55" s="4"/>
      <c r="K55" s="4">
        <v>232</v>
      </c>
      <c r="L55" s="4">
        <v>15</v>
      </c>
      <c r="M55" s="4">
        <v>3</v>
      </c>
      <c r="N55" s="4" t="s">
        <v>3</v>
      </c>
      <c r="O55" s="4">
        <v>2</v>
      </c>
      <c r="P55" s="4"/>
      <c r="Q55" s="4"/>
      <c r="R55" s="4"/>
      <c r="S55" s="4"/>
      <c r="T55" s="4"/>
      <c r="U55" s="4"/>
      <c r="V55" s="4"/>
      <c r="W55" s="4"/>
    </row>
    <row r="56" spans="1:23">
      <c r="A56" s="4">
        <v>50</v>
      </c>
      <c r="B56" s="4">
        <v>0</v>
      </c>
      <c r="C56" s="4">
        <v>0</v>
      </c>
      <c r="D56" s="4">
        <v>1</v>
      </c>
      <c r="E56" s="4">
        <v>214</v>
      </c>
      <c r="F56" s="4">
        <f>ROUND(Source!AS39,O56)</f>
        <v>641287.38</v>
      </c>
      <c r="G56" s="4" t="s">
        <v>99</v>
      </c>
      <c r="H56" s="4" t="s">
        <v>100</v>
      </c>
      <c r="I56" s="4"/>
      <c r="J56" s="4"/>
      <c r="K56" s="4">
        <v>214</v>
      </c>
      <c r="L56" s="4">
        <v>16</v>
      </c>
      <c r="M56" s="4">
        <v>3</v>
      </c>
      <c r="N56" s="4" t="s">
        <v>3</v>
      </c>
      <c r="O56" s="4">
        <v>2</v>
      </c>
      <c r="P56" s="4"/>
      <c r="Q56" s="4"/>
      <c r="R56" s="4"/>
      <c r="S56" s="4"/>
      <c r="T56" s="4"/>
      <c r="U56" s="4"/>
      <c r="V56" s="4"/>
      <c r="W56" s="4"/>
    </row>
    <row r="57" spans="1:23">
      <c r="A57" s="4">
        <v>50</v>
      </c>
      <c r="B57" s="4">
        <v>0</v>
      </c>
      <c r="C57" s="4">
        <v>0</v>
      </c>
      <c r="D57" s="4">
        <v>1</v>
      </c>
      <c r="E57" s="4">
        <v>215</v>
      </c>
      <c r="F57" s="4">
        <f>ROUND(Source!AT39,O57)</f>
        <v>0</v>
      </c>
      <c r="G57" s="4" t="s">
        <v>101</v>
      </c>
      <c r="H57" s="4" t="s">
        <v>102</v>
      </c>
      <c r="I57" s="4"/>
      <c r="J57" s="4"/>
      <c r="K57" s="4">
        <v>215</v>
      </c>
      <c r="L57" s="4">
        <v>17</v>
      </c>
      <c r="M57" s="4">
        <v>3</v>
      </c>
      <c r="N57" s="4" t="s">
        <v>3</v>
      </c>
      <c r="O57" s="4">
        <v>2</v>
      </c>
      <c r="P57" s="4"/>
      <c r="Q57" s="4"/>
      <c r="R57" s="4"/>
      <c r="S57" s="4"/>
      <c r="T57" s="4"/>
      <c r="U57" s="4"/>
      <c r="V57" s="4"/>
      <c r="W57" s="4"/>
    </row>
    <row r="58" spans="1:23">
      <c r="A58" s="4">
        <v>50</v>
      </c>
      <c r="B58" s="4">
        <v>0</v>
      </c>
      <c r="C58" s="4">
        <v>0</v>
      </c>
      <c r="D58" s="4">
        <v>1</v>
      </c>
      <c r="E58" s="4">
        <v>217</v>
      </c>
      <c r="F58" s="4">
        <f>ROUND(Source!AU39,O58)</f>
        <v>0</v>
      </c>
      <c r="G58" s="4" t="s">
        <v>103</v>
      </c>
      <c r="H58" s="4" t="s">
        <v>104</v>
      </c>
      <c r="I58" s="4"/>
      <c r="J58" s="4"/>
      <c r="K58" s="4">
        <v>217</v>
      </c>
      <c r="L58" s="4">
        <v>18</v>
      </c>
      <c r="M58" s="4">
        <v>3</v>
      </c>
      <c r="N58" s="4" t="s">
        <v>3</v>
      </c>
      <c r="O58" s="4">
        <v>2</v>
      </c>
      <c r="P58" s="4"/>
      <c r="Q58" s="4"/>
      <c r="R58" s="4"/>
      <c r="S58" s="4"/>
      <c r="T58" s="4"/>
      <c r="U58" s="4"/>
      <c r="V58" s="4"/>
      <c r="W58" s="4"/>
    </row>
    <row r="59" spans="1:23">
      <c r="A59" s="4">
        <v>50</v>
      </c>
      <c r="B59" s="4">
        <v>0</v>
      </c>
      <c r="C59" s="4">
        <v>0</v>
      </c>
      <c r="D59" s="4">
        <v>1</v>
      </c>
      <c r="E59" s="4">
        <v>230</v>
      </c>
      <c r="F59" s="4">
        <f>ROUND(Source!BA39,O59)</f>
        <v>0</v>
      </c>
      <c r="G59" s="4" t="s">
        <v>105</v>
      </c>
      <c r="H59" s="4" t="s">
        <v>106</v>
      </c>
      <c r="I59" s="4"/>
      <c r="J59" s="4"/>
      <c r="K59" s="4">
        <v>230</v>
      </c>
      <c r="L59" s="4">
        <v>19</v>
      </c>
      <c r="M59" s="4">
        <v>3</v>
      </c>
      <c r="N59" s="4" t="s">
        <v>3</v>
      </c>
      <c r="O59" s="4">
        <v>2</v>
      </c>
      <c r="P59" s="4"/>
      <c r="Q59" s="4"/>
      <c r="R59" s="4"/>
      <c r="S59" s="4"/>
      <c r="T59" s="4"/>
      <c r="U59" s="4"/>
      <c r="V59" s="4"/>
      <c r="W59" s="4"/>
    </row>
    <row r="60" spans="1:23">
      <c r="A60" s="4">
        <v>50</v>
      </c>
      <c r="B60" s="4">
        <v>0</v>
      </c>
      <c r="C60" s="4">
        <v>0</v>
      </c>
      <c r="D60" s="4">
        <v>1</v>
      </c>
      <c r="E60" s="4">
        <v>206</v>
      </c>
      <c r="F60" s="4">
        <f>ROUND(Source!T39,O60)</f>
        <v>0</v>
      </c>
      <c r="G60" s="4" t="s">
        <v>107</v>
      </c>
      <c r="H60" s="4" t="s">
        <v>108</v>
      </c>
      <c r="I60" s="4"/>
      <c r="J60" s="4"/>
      <c r="K60" s="4">
        <v>206</v>
      </c>
      <c r="L60" s="4">
        <v>20</v>
      </c>
      <c r="M60" s="4">
        <v>3</v>
      </c>
      <c r="N60" s="4" t="s">
        <v>3</v>
      </c>
      <c r="O60" s="4">
        <v>2</v>
      </c>
      <c r="P60" s="4"/>
      <c r="Q60" s="4"/>
      <c r="R60" s="4"/>
      <c r="S60" s="4"/>
      <c r="T60" s="4"/>
      <c r="U60" s="4"/>
      <c r="V60" s="4"/>
      <c r="W60" s="4"/>
    </row>
    <row r="61" spans="1:23">
      <c r="A61" s="4">
        <v>50</v>
      </c>
      <c r="B61" s="4">
        <v>0</v>
      </c>
      <c r="C61" s="4">
        <v>0</v>
      </c>
      <c r="D61" s="4">
        <v>1</v>
      </c>
      <c r="E61" s="4">
        <v>207</v>
      </c>
      <c r="F61" s="4">
        <f>Source!U39</f>
        <v>137.86176438400003</v>
      </c>
      <c r="G61" s="4" t="s">
        <v>109</v>
      </c>
      <c r="H61" s="4" t="s">
        <v>110</v>
      </c>
      <c r="I61" s="4"/>
      <c r="J61" s="4"/>
      <c r="K61" s="4">
        <v>207</v>
      </c>
      <c r="L61" s="4">
        <v>21</v>
      </c>
      <c r="M61" s="4">
        <v>3</v>
      </c>
      <c r="N61" s="4" t="s">
        <v>3</v>
      </c>
      <c r="O61" s="4">
        <v>-1</v>
      </c>
      <c r="P61" s="4"/>
      <c r="Q61" s="4"/>
      <c r="R61" s="4"/>
      <c r="S61" s="4"/>
      <c r="T61" s="4"/>
      <c r="U61" s="4"/>
      <c r="V61" s="4"/>
      <c r="W61" s="4"/>
    </row>
    <row r="62" spans="1:23">
      <c r="A62" s="4">
        <v>50</v>
      </c>
      <c r="B62" s="4">
        <v>0</v>
      </c>
      <c r="C62" s="4">
        <v>0</v>
      </c>
      <c r="D62" s="4">
        <v>1</v>
      </c>
      <c r="E62" s="4">
        <v>208</v>
      </c>
      <c r="F62" s="4">
        <f>Source!V39</f>
        <v>0</v>
      </c>
      <c r="G62" s="4" t="s">
        <v>111</v>
      </c>
      <c r="H62" s="4" t="s">
        <v>112</v>
      </c>
      <c r="I62" s="4"/>
      <c r="J62" s="4"/>
      <c r="K62" s="4">
        <v>208</v>
      </c>
      <c r="L62" s="4">
        <v>22</v>
      </c>
      <c r="M62" s="4">
        <v>3</v>
      </c>
      <c r="N62" s="4" t="s">
        <v>3</v>
      </c>
      <c r="O62" s="4">
        <v>-1</v>
      </c>
      <c r="P62" s="4"/>
      <c r="Q62" s="4"/>
      <c r="R62" s="4"/>
      <c r="S62" s="4"/>
      <c r="T62" s="4"/>
      <c r="U62" s="4"/>
      <c r="V62" s="4"/>
      <c r="W62" s="4"/>
    </row>
    <row r="63" spans="1:23">
      <c r="A63" s="4">
        <v>50</v>
      </c>
      <c r="B63" s="4">
        <v>0</v>
      </c>
      <c r="C63" s="4">
        <v>0</v>
      </c>
      <c r="D63" s="4">
        <v>1</v>
      </c>
      <c r="E63" s="4">
        <v>209</v>
      </c>
      <c r="F63" s="4">
        <f>ROUND(Source!W39,O63)</f>
        <v>0</v>
      </c>
      <c r="G63" s="4" t="s">
        <v>113</v>
      </c>
      <c r="H63" s="4" t="s">
        <v>114</v>
      </c>
      <c r="I63" s="4"/>
      <c r="J63" s="4"/>
      <c r="K63" s="4">
        <v>209</v>
      </c>
      <c r="L63" s="4">
        <v>23</v>
      </c>
      <c r="M63" s="4">
        <v>3</v>
      </c>
      <c r="N63" s="4" t="s">
        <v>3</v>
      </c>
      <c r="O63" s="4">
        <v>2</v>
      </c>
      <c r="P63" s="4"/>
      <c r="Q63" s="4"/>
      <c r="R63" s="4"/>
      <c r="S63" s="4"/>
      <c r="T63" s="4"/>
      <c r="U63" s="4"/>
      <c r="V63" s="4"/>
      <c r="W63" s="4"/>
    </row>
    <row r="64" spans="1:23">
      <c r="A64" s="4">
        <v>50</v>
      </c>
      <c r="B64" s="4">
        <v>0</v>
      </c>
      <c r="C64" s="4">
        <v>0</v>
      </c>
      <c r="D64" s="4">
        <v>1</v>
      </c>
      <c r="E64" s="4">
        <v>233</v>
      </c>
      <c r="F64" s="4">
        <f>ROUND(Source!BD39,O64)</f>
        <v>0</v>
      </c>
      <c r="G64" s="4" t="s">
        <v>115</v>
      </c>
      <c r="H64" s="4" t="s">
        <v>116</v>
      </c>
      <c r="I64" s="4"/>
      <c r="J64" s="4"/>
      <c r="K64" s="4">
        <v>233</v>
      </c>
      <c r="L64" s="4">
        <v>24</v>
      </c>
      <c r="M64" s="4">
        <v>3</v>
      </c>
      <c r="N64" s="4" t="s">
        <v>3</v>
      </c>
      <c r="O64" s="4">
        <v>2</v>
      </c>
      <c r="P64" s="4"/>
      <c r="Q64" s="4"/>
      <c r="R64" s="4"/>
      <c r="S64" s="4"/>
      <c r="T64" s="4"/>
      <c r="U64" s="4"/>
      <c r="V64" s="4"/>
      <c r="W64" s="4"/>
    </row>
    <row r="65" spans="1:245">
      <c r="A65" s="4">
        <v>50</v>
      </c>
      <c r="B65" s="4">
        <v>0</v>
      </c>
      <c r="C65" s="4">
        <v>0</v>
      </c>
      <c r="D65" s="4">
        <v>1</v>
      </c>
      <c r="E65" s="4">
        <v>210</v>
      </c>
      <c r="F65" s="4">
        <f>ROUND(Source!X39,O65)</f>
        <v>39541.54</v>
      </c>
      <c r="G65" s="4" t="s">
        <v>117</v>
      </c>
      <c r="H65" s="4" t="s">
        <v>118</v>
      </c>
      <c r="I65" s="4"/>
      <c r="J65" s="4"/>
      <c r="K65" s="4">
        <v>210</v>
      </c>
      <c r="L65" s="4">
        <v>25</v>
      </c>
      <c r="M65" s="4">
        <v>3</v>
      </c>
      <c r="N65" s="4" t="s">
        <v>3</v>
      </c>
      <c r="O65" s="4">
        <v>2</v>
      </c>
      <c r="P65" s="4"/>
      <c r="Q65" s="4"/>
      <c r="R65" s="4"/>
      <c r="S65" s="4"/>
      <c r="T65" s="4"/>
      <c r="U65" s="4"/>
      <c r="V65" s="4"/>
      <c r="W65" s="4"/>
    </row>
    <row r="66" spans="1:245">
      <c r="A66" s="4">
        <v>50</v>
      </c>
      <c r="B66" s="4">
        <v>0</v>
      </c>
      <c r="C66" s="4">
        <v>0</v>
      </c>
      <c r="D66" s="4">
        <v>1</v>
      </c>
      <c r="E66" s="4">
        <v>211</v>
      </c>
      <c r="F66" s="4">
        <f>ROUND(Source!Y39,O66)</f>
        <v>16829.61</v>
      </c>
      <c r="G66" s="4" t="s">
        <v>119</v>
      </c>
      <c r="H66" s="4" t="s">
        <v>120</v>
      </c>
      <c r="I66" s="4"/>
      <c r="J66" s="4"/>
      <c r="K66" s="4">
        <v>211</v>
      </c>
      <c r="L66" s="4">
        <v>26</v>
      </c>
      <c r="M66" s="4">
        <v>3</v>
      </c>
      <c r="N66" s="4" t="s">
        <v>3</v>
      </c>
      <c r="O66" s="4">
        <v>2</v>
      </c>
      <c r="P66" s="4"/>
      <c r="Q66" s="4"/>
      <c r="R66" s="4"/>
      <c r="S66" s="4"/>
      <c r="T66" s="4"/>
      <c r="U66" s="4"/>
      <c r="V66" s="4"/>
      <c r="W66" s="4"/>
    </row>
    <row r="67" spans="1:245">
      <c r="A67" s="4">
        <v>50</v>
      </c>
      <c r="B67" s="4">
        <v>0</v>
      </c>
      <c r="C67" s="4">
        <v>0</v>
      </c>
      <c r="D67" s="4">
        <v>1</v>
      </c>
      <c r="E67" s="4">
        <v>224</v>
      </c>
      <c r="F67" s="4">
        <f>ROUND(Source!AR39,O67)</f>
        <v>641287.38</v>
      </c>
      <c r="G67" s="4" t="s">
        <v>121</v>
      </c>
      <c r="H67" s="4" t="s">
        <v>122</v>
      </c>
      <c r="I67" s="4"/>
      <c r="J67" s="4"/>
      <c r="K67" s="4">
        <v>224</v>
      </c>
      <c r="L67" s="4">
        <v>27</v>
      </c>
      <c r="M67" s="4">
        <v>3</v>
      </c>
      <c r="N67" s="4" t="s">
        <v>3</v>
      </c>
      <c r="O67" s="4">
        <v>2</v>
      </c>
      <c r="P67" s="4"/>
      <c r="Q67" s="4"/>
      <c r="R67" s="4"/>
      <c r="S67" s="4"/>
      <c r="T67" s="4"/>
      <c r="U67" s="4"/>
      <c r="V67" s="4"/>
      <c r="W67" s="4"/>
    </row>
    <row r="69" spans="1:245">
      <c r="A69" s="1">
        <v>4</v>
      </c>
      <c r="B69" s="1">
        <v>1</v>
      </c>
      <c r="C69" s="1"/>
      <c r="D69" s="1">
        <f>ROW(A85)</f>
        <v>85</v>
      </c>
      <c r="E69" s="1"/>
      <c r="F69" s="1" t="s">
        <v>13</v>
      </c>
      <c r="G69" s="1" t="s">
        <v>123</v>
      </c>
      <c r="H69" s="1" t="s">
        <v>3</v>
      </c>
      <c r="I69" s="1">
        <v>0</v>
      </c>
      <c r="J69" s="1"/>
      <c r="K69" s="1">
        <v>-1</v>
      </c>
      <c r="L69" s="1"/>
      <c r="M69" s="1"/>
      <c r="N69" s="1"/>
      <c r="O69" s="1"/>
      <c r="P69" s="1"/>
      <c r="Q69" s="1"/>
      <c r="R69" s="1"/>
      <c r="S69" s="1"/>
      <c r="T69" s="1"/>
      <c r="U69" s="1" t="s">
        <v>3</v>
      </c>
      <c r="V69" s="1">
        <v>0</v>
      </c>
      <c r="W69" s="1"/>
      <c r="X69" s="1"/>
      <c r="Y69" s="1"/>
      <c r="Z69" s="1"/>
      <c r="AA69" s="1"/>
      <c r="AB69" s="1" t="s">
        <v>3</v>
      </c>
      <c r="AC69" s="1" t="s">
        <v>3</v>
      </c>
      <c r="AD69" s="1" t="s">
        <v>3</v>
      </c>
      <c r="AE69" s="1" t="s">
        <v>3</v>
      </c>
      <c r="AF69" s="1" t="s">
        <v>3</v>
      </c>
      <c r="AG69" s="1" t="s">
        <v>3</v>
      </c>
      <c r="AH69" s="1"/>
      <c r="AI69" s="1"/>
      <c r="AJ69" s="1"/>
      <c r="AK69" s="1"/>
      <c r="AL69" s="1"/>
      <c r="AM69" s="1"/>
      <c r="AN69" s="1"/>
      <c r="AO69" s="1"/>
      <c r="AP69" s="1" t="s">
        <v>3</v>
      </c>
      <c r="AQ69" s="1" t="s">
        <v>3</v>
      </c>
      <c r="AR69" s="1" t="s">
        <v>3</v>
      </c>
      <c r="AS69" s="1"/>
      <c r="AT69" s="1"/>
      <c r="AU69" s="1"/>
      <c r="AV69" s="1"/>
      <c r="AW69" s="1"/>
      <c r="AX69" s="1"/>
      <c r="AY69" s="1"/>
      <c r="AZ69" s="1" t="s">
        <v>3</v>
      </c>
      <c r="BA69" s="1"/>
      <c r="BB69" s="1" t="s">
        <v>3</v>
      </c>
      <c r="BC69" s="1" t="s">
        <v>3</v>
      </c>
      <c r="BD69" s="1" t="s">
        <v>3</v>
      </c>
      <c r="BE69" s="1" t="s">
        <v>3</v>
      </c>
      <c r="BF69" s="1" t="s">
        <v>3</v>
      </c>
      <c r="BG69" s="1" t="s">
        <v>3</v>
      </c>
      <c r="BH69" s="1" t="s">
        <v>3</v>
      </c>
      <c r="BI69" s="1" t="s">
        <v>3</v>
      </c>
      <c r="BJ69" s="1" t="s">
        <v>3</v>
      </c>
      <c r="BK69" s="1" t="s">
        <v>3</v>
      </c>
      <c r="BL69" s="1" t="s">
        <v>3</v>
      </c>
      <c r="BM69" s="1" t="s">
        <v>3</v>
      </c>
      <c r="BN69" s="1" t="s">
        <v>3</v>
      </c>
      <c r="BO69" s="1" t="s">
        <v>3</v>
      </c>
      <c r="BP69" s="1" t="s">
        <v>3</v>
      </c>
      <c r="BQ69" s="1"/>
      <c r="BR69" s="1"/>
      <c r="BS69" s="1"/>
      <c r="BT69" s="1"/>
      <c r="BU69" s="1"/>
      <c r="BV69" s="1"/>
      <c r="BW69" s="1"/>
      <c r="BX69" s="1">
        <v>0</v>
      </c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>
        <v>0</v>
      </c>
    </row>
    <row r="71" spans="1:245">
      <c r="A71" s="2">
        <v>52</v>
      </c>
      <c r="B71" s="2">
        <f t="shared" ref="B71:G71" si="63">B85</f>
        <v>1</v>
      </c>
      <c r="C71" s="2">
        <f t="shared" si="63"/>
        <v>4</v>
      </c>
      <c r="D71" s="2">
        <f t="shared" si="63"/>
        <v>69</v>
      </c>
      <c r="E71" s="2">
        <f t="shared" si="63"/>
        <v>0</v>
      </c>
      <c r="F71" s="2" t="str">
        <f t="shared" si="63"/>
        <v>Новый раздел</v>
      </c>
      <c r="G71" s="2" t="str">
        <f t="shared" si="63"/>
        <v>27.1 Плиточное покрытие</v>
      </c>
      <c r="H71" s="2"/>
      <c r="I71" s="2"/>
      <c r="J71" s="2"/>
      <c r="K71" s="2"/>
      <c r="L71" s="2"/>
      <c r="M71" s="2"/>
      <c r="N71" s="2"/>
      <c r="O71" s="2">
        <f t="shared" ref="O71:AT71" si="64">O85</f>
        <v>140491.46</v>
      </c>
      <c r="P71" s="2">
        <f t="shared" si="64"/>
        <v>104494.09</v>
      </c>
      <c r="Q71" s="2">
        <f t="shared" si="64"/>
        <v>7377.92</v>
      </c>
      <c r="R71" s="2">
        <f t="shared" si="64"/>
        <v>3502.61</v>
      </c>
      <c r="S71" s="2">
        <f t="shared" si="64"/>
        <v>28619.45</v>
      </c>
      <c r="T71" s="2">
        <f t="shared" si="64"/>
        <v>0</v>
      </c>
      <c r="U71" s="2">
        <f t="shared" si="64"/>
        <v>104.87190480000001</v>
      </c>
      <c r="V71" s="2">
        <f t="shared" si="64"/>
        <v>0</v>
      </c>
      <c r="W71" s="2">
        <f t="shared" si="64"/>
        <v>0</v>
      </c>
      <c r="X71" s="2">
        <f t="shared" si="64"/>
        <v>30024.9</v>
      </c>
      <c r="Y71" s="2">
        <f t="shared" si="64"/>
        <v>11888.37</v>
      </c>
      <c r="Z71" s="2">
        <f t="shared" si="64"/>
        <v>0</v>
      </c>
      <c r="AA71" s="2">
        <f t="shared" si="64"/>
        <v>0</v>
      </c>
      <c r="AB71" s="2">
        <f t="shared" si="64"/>
        <v>140491.46</v>
      </c>
      <c r="AC71" s="2">
        <f t="shared" si="64"/>
        <v>104494.09</v>
      </c>
      <c r="AD71" s="2">
        <f t="shared" si="64"/>
        <v>7377.92</v>
      </c>
      <c r="AE71" s="2">
        <f t="shared" si="64"/>
        <v>3502.61</v>
      </c>
      <c r="AF71" s="2">
        <f t="shared" si="64"/>
        <v>28619.45</v>
      </c>
      <c r="AG71" s="2">
        <f t="shared" si="64"/>
        <v>0</v>
      </c>
      <c r="AH71" s="2">
        <f t="shared" si="64"/>
        <v>104.87190480000001</v>
      </c>
      <c r="AI71" s="2">
        <f t="shared" si="64"/>
        <v>0</v>
      </c>
      <c r="AJ71" s="2">
        <f t="shared" si="64"/>
        <v>0</v>
      </c>
      <c r="AK71" s="2">
        <f t="shared" si="64"/>
        <v>30024.9</v>
      </c>
      <c r="AL71" s="2">
        <f t="shared" si="64"/>
        <v>11888.37</v>
      </c>
      <c r="AM71" s="2">
        <f t="shared" si="64"/>
        <v>0</v>
      </c>
      <c r="AN71" s="2">
        <f t="shared" si="64"/>
        <v>0</v>
      </c>
      <c r="AO71" s="2">
        <f t="shared" si="64"/>
        <v>0</v>
      </c>
      <c r="AP71" s="2">
        <f t="shared" si="64"/>
        <v>0</v>
      </c>
      <c r="AQ71" s="2">
        <f t="shared" si="64"/>
        <v>0</v>
      </c>
      <c r="AR71" s="2">
        <f t="shared" si="64"/>
        <v>187903.82</v>
      </c>
      <c r="AS71" s="2">
        <f t="shared" si="64"/>
        <v>187903.82</v>
      </c>
      <c r="AT71" s="2">
        <f t="shared" si="64"/>
        <v>0</v>
      </c>
      <c r="AU71" s="2">
        <f t="shared" ref="AU71:BZ71" si="65">AU85</f>
        <v>0</v>
      </c>
      <c r="AV71" s="2">
        <f t="shared" si="65"/>
        <v>104494.09</v>
      </c>
      <c r="AW71" s="2">
        <f t="shared" si="65"/>
        <v>104494.09</v>
      </c>
      <c r="AX71" s="2">
        <f t="shared" si="65"/>
        <v>0</v>
      </c>
      <c r="AY71" s="2">
        <f t="shared" si="65"/>
        <v>104494.09</v>
      </c>
      <c r="AZ71" s="2">
        <f t="shared" si="65"/>
        <v>0</v>
      </c>
      <c r="BA71" s="2">
        <f t="shared" si="65"/>
        <v>0</v>
      </c>
      <c r="BB71" s="2">
        <f t="shared" si="65"/>
        <v>0</v>
      </c>
      <c r="BC71" s="2">
        <f t="shared" si="65"/>
        <v>0</v>
      </c>
      <c r="BD71" s="2">
        <f t="shared" si="65"/>
        <v>0</v>
      </c>
      <c r="BE71" s="2">
        <f t="shared" si="65"/>
        <v>0</v>
      </c>
      <c r="BF71" s="2">
        <f t="shared" si="65"/>
        <v>0</v>
      </c>
      <c r="BG71" s="2">
        <f t="shared" si="65"/>
        <v>0</v>
      </c>
      <c r="BH71" s="2">
        <f t="shared" si="65"/>
        <v>0</v>
      </c>
      <c r="BI71" s="2">
        <f t="shared" si="65"/>
        <v>0</v>
      </c>
      <c r="BJ71" s="2">
        <f t="shared" si="65"/>
        <v>0</v>
      </c>
      <c r="BK71" s="2">
        <f t="shared" si="65"/>
        <v>0</v>
      </c>
      <c r="BL71" s="2">
        <f t="shared" si="65"/>
        <v>0</v>
      </c>
      <c r="BM71" s="2">
        <f t="shared" si="65"/>
        <v>0</v>
      </c>
      <c r="BN71" s="2">
        <f t="shared" si="65"/>
        <v>0</v>
      </c>
      <c r="BO71" s="2">
        <f t="shared" si="65"/>
        <v>0</v>
      </c>
      <c r="BP71" s="2">
        <f t="shared" si="65"/>
        <v>0</v>
      </c>
      <c r="BQ71" s="2">
        <f t="shared" si="65"/>
        <v>0</v>
      </c>
      <c r="BR71" s="2">
        <f t="shared" si="65"/>
        <v>0</v>
      </c>
      <c r="BS71" s="2">
        <f t="shared" si="65"/>
        <v>0</v>
      </c>
      <c r="BT71" s="2">
        <f t="shared" si="65"/>
        <v>0</v>
      </c>
      <c r="BU71" s="2">
        <f t="shared" si="65"/>
        <v>0</v>
      </c>
      <c r="BV71" s="2">
        <f t="shared" si="65"/>
        <v>0</v>
      </c>
      <c r="BW71" s="2">
        <f t="shared" si="65"/>
        <v>0</v>
      </c>
      <c r="BX71" s="2">
        <f t="shared" si="65"/>
        <v>0</v>
      </c>
      <c r="BY71" s="2">
        <f t="shared" si="65"/>
        <v>0</v>
      </c>
      <c r="BZ71" s="2">
        <f t="shared" si="65"/>
        <v>0</v>
      </c>
      <c r="CA71" s="2">
        <f t="shared" ref="CA71:DF71" si="66">CA85</f>
        <v>187903.82</v>
      </c>
      <c r="CB71" s="2">
        <f t="shared" si="66"/>
        <v>187903.82</v>
      </c>
      <c r="CC71" s="2">
        <f t="shared" si="66"/>
        <v>0</v>
      </c>
      <c r="CD71" s="2">
        <f t="shared" si="66"/>
        <v>0</v>
      </c>
      <c r="CE71" s="2">
        <f t="shared" si="66"/>
        <v>104494.09</v>
      </c>
      <c r="CF71" s="2">
        <f t="shared" si="66"/>
        <v>104494.09</v>
      </c>
      <c r="CG71" s="2">
        <f t="shared" si="66"/>
        <v>0</v>
      </c>
      <c r="CH71" s="2">
        <f t="shared" si="66"/>
        <v>104494.09</v>
      </c>
      <c r="CI71" s="2">
        <f t="shared" si="66"/>
        <v>0</v>
      </c>
      <c r="CJ71" s="2">
        <f t="shared" si="66"/>
        <v>0</v>
      </c>
      <c r="CK71" s="2">
        <f t="shared" si="66"/>
        <v>0</v>
      </c>
      <c r="CL71" s="2">
        <f t="shared" si="66"/>
        <v>0</v>
      </c>
      <c r="CM71" s="2">
        <f t="shared" si="66"/>
        <v>0</v>
      </c>
      <c r="CN71" s="2">
        <f t="shared" si="66"/>
        <v>0</v>
      </c>
      <c r="CO71" s="2">
        <f t="shared" si="66"/>
        <v>0</v>
      </c>
      <c r="CP71" s="2">
        <f t="shared" si="66"/>
        <v>0</v>
      </c>
      <c r="CQ71" s="2">
        <f t="shared" si="66"/>
        <v>0</v>
      </c>
      <c r="CR71" s="2">
        <f t="shared" si="66"/>
        <v>0</v>
      </c>
      <c r="CS71" s="2">
        <f t="shared" si="66"/>
        <v>0</v>
      </c>
      <c r="CT71" s="2">
        <f t="shared" si="66"/>
        <v>0</v>
      </c>
      <c r="CU71" s="2">
        <f t="shared" si="66"/>
        <v>0</v>
      </c>
      <c r="CV71" s="2">
        <f t="shared" si="66"/>
        <v>0</v>
      </c>
      <c r="CW71" s="2">
        <f t="shared" si="66"/>
        <v>0</v>
      </c>
      <c r="CX71" s="2">
        <f t="shared" si="66"/>
        <v>0</v>
      </c>
      <c r="CY71" s="2">
        <f t="shared" si="66"/>
        <v>0</v>
      </c>
      <c r="CZ71" s="2">
        <f t="shared" si="66"/>
        <v>0</v>
      </c>
      <c r="DA71" s="2">
        <f t="shared" si="66"/>
        <v>0</v>
      </c>
      <c r="DB71" s="2">
        <f t="shared" si="66"/>
        <v>0</v>
      </c>
      <c r="DC71" s="2">
        <f t="shared" si="66"/>
        <v>0</v>
      </c>
      <c r="DD71" s="2">
        <f t="shared" si="66"/>
        <v>0</v>
      </c>
      <c r="DE71" s="2">
        <f t="shared" si="66"/>
        <v>0</v>
      </c>
      <c r="DF71" s="2">
        <f t="shared" si="66"/>
        <v>0</v>
      </c>
      <c r="DG71" s="3">
        <f t="shared" ref="DG71:EL71" si="67">DG85</f>
        <v>0</v>
      </c>
      <c r="DH71" s="3">
        <f t="shared" si="67"/>
        <v>0</v>
      </c>
      <c r="DI71" s="3">
        <f t="shared" si="67"/>
        <v>0</v>
      </c>
      <c r="DJ71" s="3">
        <f t="shared" si="67"/>
        <v>0</v>
      </c>
      <c r="DK71" s="3">
        <f t="shared" si="67"/>
        <v>0</v>
      </c>
      <c r="DL71" s="3">
        <f t="shared" si="67"/>
        <v>0</v>
      </c>
      <c r="DM71" s="3">
        <f t="shared" si="67"/>
        <v>0</v>
      </c>
      <c r="DN71" s="3">
        <f t="shared" si="67"/>
        <v>0</v>
      </c>
      <c r="DO71" s="3">
        <f t="shared" si="67"/>
        <v>0</v>
      </c>
      <c r="DP71" s="3">
        <f t="shared" si="67"/>
        <v>0</v>
      </c>
      <c r="DQ71" s="3">
        <f t="shared" si="67"/>
        <v>0</v>
      </c>
      <c r="DR71" s="3">
        <f t="shared" si="67"/>
        <v>0</v>
      </c>
      <c r="DS71" s="3">
        <f t="shared" si="67"/>
        <v>0</v>
      </c>
      <c r="DT71" s="3">
        <f t="shared" si="67"/>
        <v>0</v>
      </c>
      <c r="DU71" s="3">
        <f t="shared" si="67"/>
        <v>0</v>
      </c>
      <c r="DV71" s="3">
        <f t="shared" si="67"/>
        <v>0</v>
      </c>
      <c r="DW71" s="3">
        <f t="shared" si="67"/>
        <v>0</v>
      </c>
      <c r="DX71" s="3">
        <f t="shared" si="67"/>
        <v>0</v>
      </c>
      <c r="DY71" s="3">
        <f t="shared" si="67"/>
        <v>0</v>
      </c>
      <c r="DZ71" s="3">
        <f t="shared" si="67"/>
        <v>0</v>
      </c>
      <c r="EA71" s="3">
        <f t="shared" si="67"/>
        <v>0</v>
      </c>
      <c r="EB71" s="3">
        <f t="shared" si="67"/>
        <v>0</v>
      </c>
      <c r="EC71" s="3">
        <f t="shared" si="67"/>
        <v>0</v>
      </c>
      <c r="ED71" s="3">
        <f t="shared" si="67"/>
        <v>0</v>
      </c>
      <c r="EE71" s="3">
        <f t="shared" si="67"/>
        <v>0</v>
      </c>
      <c r="EF71" s="3">
        <f t="shared" si="67"/>
        <v>0</v>
      </c>
      <c r="EG71" s="3">
        <f t="shared" si="67"/>
        <v>0</v>
      </c>
      <c r="EH71" s="3">
        <f t="shared" si="67"/>
        <v>0</v>
      </c>
      <c r="EI71" s="3">
        <f t="shared" si="67"/>
        <v>0</v>
      </c>
      <c r="EJ71" s="3">
        <f t="shared" si="67"/>
        <v>0</v>
      </c>
      <c r="EK71" s="3">
        <f t="shared" si="67"/>
        <v>0</v>
      </c>
      <c r="EL71" s="3">
        <f t="shared" si="67"/>
        <v>0</v>
      </c>
      <c r="EM71" s="3">
        <f t="shared" ref="EM71:FR71" si="68">EM85</f>
        <v>0</v>
      </c>
      <c r="EN71" s="3">
        <f t="shared" si="68"/>
        <v>0</v>
      </c>
      <c r="EO71" s="3">
        <f t="shared" si="68"/>
        <v>0</v>
      </c>
      <c r="EP71" s="3">
        <f t="shared" si="68"/>
        <v>0</v>
      </c>
      <c r="EQ71" s="3">
        <f t="shared" si="68"/>
        <v>0</v>
      </c>
      <c r="ER71" s="3">
        <f t="shared" si="68"/>
        <v>0</v>
      </c>
      <c r="ES71" s="3">
        <f t="shared" si="68"/>
        <v>0</v>
      </c>
      <c r="ET71" s="3">
        <f t="shared" si="68"/>
        <v>0</v>
      </c>
      <c r="EU71" s="3">
        <f t="shared" si="68"/>
        <v>0</v>
      </c>
      <c r="EV71" s="3">
        <f t="shared" si="68"/>
        <v>0</v>
      </c>
      <c r="EW71" s="3">
        <f t="shared" si="68"/>
        <v>0</v>
      </c>
      <c r="EX71" s="3">
        <f t="shared" si="68"/>
        <v>0</v>
      </c>
      <c r="EY71" s="3">
        <f t="shared" si="68"/>
        <v>0</v>
      </c>
      <c r="EZ71" s="3">
        <f t="shared" si="68"/>
        <v>0</v>
      </c>
      <c r="FA71" s="3">
        <f t="shared" si="68"/>
        <v>0</v>
      </c>
      <c r="FB71" s="3">
        <f t="shared" si="68"/>
        <v>0</v>
      </c>
      <c r="FC71" s="3">
        <f t="shared" si="68"/>
        <v>0</v>
      </c>
      <c r="FD71" s="3">
        <f t="shared" si="68"/>
        <v>0</v>
      </c>
      <c r="FE71" s="3">
        <f t="shared" si="68"/>
        <v>0</v>
      </c>
      <c r="FF71" s="3">
        <f t="shared" si="68"/>
        <v>0</v>
      </c>
      <c r="FG71" s="3">
        <f t="shared" si="68"/>
        <v>0</v>
      </c>
      <c r="FH71" s="3">
        <f t="shared" si="68"/>
        <v>0</v>
      </c>
      <c r="FI71" s="3">
        <f t="shared" si="68"/>
        <v>0</v>
      </c>
      <c r="FJ71" s="3">
        <f t="shared" si="68"/>
        <v>0</v>
      </c>
      <c r="FK71" s="3">
        <f t="shared" si="68"/>
        <v>0</v>
      </c>
      <c r="FL71" s="3">
        <f t="shared" si="68"/>
        <v>0</v>
      </c>
      <c r="FM71" s="3">
        <f t="shared" si="68"/>
        <v>0</v>
      </c>
      <c r="FN71" s="3">
        <f t="shared" si="68"/>
        <v>0</v>
      </c>
      <c r="FO71" s="3">
        <f t="shared" si="68"/>
        <v>0</v>
      </c>
      <c r="FP71" s="3">
        <f t="shared" si="68"/>
        <v>0</v>
      </c>
      <c r="FQ71" s="3">
        <f t="shared" si="68"/>
        <v>0</v>
      </c>
      <c r="FR71" s="3">
        <f t="shared" si="68"/>
        <v>0</v>
      </c>
      <c r="FS71" s="3">
        <f t="shared" ref="FS71:GX71" si="69">FS85</f>
        <v>0</v>
      </c>
      <c r="FT71" s="3">
        <f t="shared" si="69"/>
        <v>0</v>
      </c>
      <c r="FU71" s="3">
        <f t="shared" si="69"/>
        <v>0</v>
      </c>
      <c r="FV71" s="3">
        <f t="shared" si="69"/>
        <v>0</v>
      </c>
      <c r="FW71" s="3">
        <f t="shared" si="69"/>
        <v>0</v>
      </c>
      <c r="FX71" s="3">
        <f t="shared" si="69"/>
        <v>0</v>
      </c>
      <c r="FY71" s="3">
        <f t="shared" si="69"/>
        <v>0</v>
      </c>
      <c r="FZ71" s="3">
        <f t="shared" si="69"/>
        <v>0</v>
      </c>
      <c r="GA71" s="3">
        <f t="shared" si="69"/>
        <v>0</v>
      </c>
      <c r="GB71" s="3">
        <f t="shared" si="69"/>
        <v>0</v>
      </c>
      <c r="GC71" s="3">
        <f t="shared" si="69"/>
        <v>0</v>
      </c>
      <c r="GD71" s="3">
        <f t="shared" si="69"/>
        <v>0</v>
      </c>
      <c r="GE71" s="3">
        <f t="shared" si="69"/>
        <v>0</v>
      </c>
      <c r="GF71" s="3">
        <f t="shared" si="69"/>
        <v>0</v>
      </c>
      <c r="GG71" s="3">
        <f t="shared" si="69"/>
        <v>0</v>
      </c>
      <c r="GH71" s="3">
        <f t="shared" si="69"/>
        <v>0</v>
      </c>
      <c r="GI71" s="3">
        <f t="shared" si="69"/>
        <v>0</v>
      </c>
      <c r="GJ71" s="3">
        <f t="shared" si="69"/>
        <v>0</v>
      </c>
      <c r="GK71" s="3">
        <f t="shared" si="69"/>
        <v>0</v>
      </c>
      <c r="GL71" s="3">
        <f t="shared" si="69"/>
        <v>0</v>
      </c>
      <c r="GM71" s="3">
        <f t="shared" si="69"/>
        <v>0</v>
      </c>
      <c r="GN71" s="3">
        <f t="shared" si="69"/>
        <v>0</v>
      </c>
      <c r="GO71" s="3">
        <f t="shared" si="69"/>
        <v>0</v>
      </c>
      <c r="GP71" s="3">
        <f t="shared" si="69"/>
        <v>0</v>
      </c>
      <c r="GQ71" s="3">
        <f t="shared" si="69"/>
        <v>0</v>
      </c>
      <c r="GR71" s="3">
        <f t="shared" si="69"/>
        <v>0</v>
      </c>
      <c r="GS71" s="3">
        <f t="shared" si="69"/>
        <v>0</v>
      </c>
      <c r="GT71" s="3">
        <f t="shared" si="69"/>
        <v>0</v>
      </c>
      <c r="GU71" s="3">
        <f t="shared" si="69"/>
        <v>0</v>
      </c>
      <c r="GV71" s="3">
        <f t="shared" si="69"/>
        <v>0</v>
      </c>
      <c r="GW71" s="3">
        <f t="shared" si="69"/>
        <v>0</v>
      </c>
      <c r="GX71" s="3">
        <f t="shared" si="69"/>
        <v>0</v>
      </c>
    </row>
    <row r="73" spans="1:245">
      <c r="A73">
        <v>17</v>
      </c>
      <c r="B73">
        <v>1</v>
      </c>
      <c r="C73">
        <f>ROW(SmtRes!A32)</f>
        <v>32</v>
      </c>
      <c r="D73">
        <f>ROW(EtalonRes!A32)</f>
        <v>32</v>
      </c>
      <c r="E73" t="s">
        <v>124</v>
      </c>
      <c r="F73" t="s">
        <v>16</v>
      </c>
      <c r="G73" t="s">
        <v>17</v>
      </c>
      <c r="H73" t="s">
        <v>18</v>
      </c>
      <c r="I73">
        <f>ROUND(78*0.43*0.9/100,9)</f>
        <v>0.30186000000000002</v>
      </c>
      <c r="J73">
        <v>0</v>
      </c>
      <c r="O73">
        <f t="shared" ref="O73:O83" si="70">ROUND(CP73,2)</f>
        <v>2342.12</v>
      </c>
      <c r="P73">
        <f t="shared" ref="P73:P83" si="71">ROUND((ROUND((AC73*AW73*I73),2)*BC73),2)</f>
        <v>0</v>
      </c>
      <c r="Q73">
        <f t="shared" ref="Q73:Q83" si="72">(ROUND((ROUND(((ET73)*AV73*I73),2)*BB73),2)+ROUND((ROUND(((AE73-(EU73))*AV73*I73),2)*BS73),2))</f>
        <v>2236.39</v>
      </c>
      <c r="R73">
        <f t="shared" ref="R73:R83" si="73">ROUND((ROUND((AE73*AV73*I73),2)*BS73),2)</f>
        <v>1052.6199999999999</v>
      </c>
      <c r="S73">
        <f t="shared" ref="S73:S83" si="74">ROUND((ROUND((AF73*AV73*I73),2)*BA73),2)</f>
        <v>105.73</v>
      </c>
      <c r="T73">
        <f t="shared" ref="T73:T83" si="75">ROUND(CU73*I73,2)</f>
        <v>0</v>
      </c>
      <c r="U73">
        <f t="shared" ref="U73:U83" si="76">CV73*I73</f>
        <v>0.41656680000000001</v>
      </c>
      <c r="V73">
        <f t="shared" ref="V73:V83" si="77">CW73*I73</f>
        <v>0</v>
      </c>
      <c r="W73">
        <f t="shared" ref="W73:W83" si="78">ROUND(CX73*I73,2)</f>
        <v>0</v>
      </c>
      <c r="X73">
        <f t="shared" ref="X73:X83" si="79">ROUND(CY73,2)</f>
        <v>97.27</v>
      </c>
      <c r="Y73">
        <f t="shared" ref="Y73:Y83" si="80">ROUND(CZ73,2)</f>
        <v>52.87</v>
      </c>
      <c r="AA73">
        <v>33985563</v>
      </c>
      <c r="AB73">
        <f t="shared" ref="AB73:AB83" si="81">ROUND((AC73+AD73+AF73),6)</f>
        <v>771.65</v>
      </c>
      <c r="AC73">
        <f t="shared" ref="AC73:AC83" si="82">ROUND((ES73),6)</f>
        <v>0</v>
      </c>
      <c r="AD73">
        <f t="shared" ref="AD73:AD83" si="83">ROUND((((ET73)-(EU73))+AE73),6)</f>
        <v>757.55</v>
      </c>
      <c r="AE73">
        <f t="shared" ref="AE73:AE83" si="84">ROUND((EU73),6)</f>
        <v>140.47999999999999</v>
      </c>
      <c r="AF73">
        <f t="shared" ref="AF73:AF83" si="85">ROUND((EV73),6)</f>
        <v>14.1</v>
      </c>
      <c r="AG73">
        <f t="shared" ref="AG73:AG83" si="86">ROUND((AP73),6)</f>
        <v>0</v>
      </c>
      <c r="AH73">
        <f t="shared" ref="AH73:AH83" si="87">(EW73)</f>
        <v>1.38</v>
      </c>
      <c r="AI73">
        <f t="shared" ref="AI73:AI83" si="88">(EX73)</f>
        <v>0</v>
      </c>
      <c r="AJ73">
        <f t="shared" ref="AJ73:AJ83" si="89">(AS73)</f>
        <v>0</v>
      </c>
      <c r="AK73">
        <v>771.65</v>
      </c>
      <c r="AL73">
        <v>0</v>
      </c>
      <c r="AM73">
        <v>757.55</v>
      </c>
      <c r="AN73">
        <v>140.47999999999999</v>
      </c>
      <c r="AO73">
        <v>14.1</v>
      </c>
      <c r="AP73">
        <v>0</v>
      </c>
      <c r="AQ73">
        <v>1.38</v>
      </c>
      <c r="AR73">
        <v>0</v>
      </c>
      <c r="AS73">
        <v>0</v>
      </c>
      <c r="AT73">
        <v>92</v>
      </c>
      <c r="AU73">
        <v>50</v>
      </c>
      <c r="AV73">
        <v>1</v>
      </c>
      <c r="AW73">
        <v>1</v>
      </c>
      <c r="AZ73">
        <v>1</v>
      </c>
      <c r="BA73">
        <v>24.82</v>
      </c>
      <c r="BB73">
        <v>9.7799999999999994</v>
      </c>
      <c r="BC73">
        <v>1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1</v>
      </c>
      <c r="BJ73" t="s">
        <v>19</v>
      </c>
      <c r="BM73">
        <v>2</v>
      </c>
      <c r="BN73">
        <v>0</v>
      </c>
      <c r="BO73" t="s">
        <v>16</v>
      </c>
      <c r="BP73">
        <v>1</v>
      </c>
      <c r="BQ73">
        <v>30</v>
      </c>
      <c r="BR73">
        <v>0</v>
      </c>
      <c r="BS73">
        <v>24.82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92</v>
      </c>
      <c r="CA73">
        <v>50</v>
      </c>
      <c r="CE73">
        <v>30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ref="CP73:CP83" si="90">(P73+Q73+S73)</f>
        <v>2342.12</v>
      </c>
      <c r="CQ73">
        <f t="shared" ref="CQ73:CQ83" si="91">ROUND((ROUND((AC73*AW73*1),2)*BC73),2)</f>
        <v>0</v>
      </c>
      <c r="CR73">
        <f t="shared" ref="CR73:CR83" si="92">(ROUND((ROUND(((ET73)*AV73*1),2)*BB73),2)+ROUND((ROUND(((AE73-(EU73))*AV73*1),2)*BS73),2))</f>
        <v>7408.84</v>
      </c>
      <c r="CS73">
        <f t="shared" ref="CS73:CS83" si="93">ROUND((ROUND((AE73*AV73*1),2)*BS73),2)</f>
        <v>3486.71</v>
      </c>
      <c r="CT73">
        <f t="shared" ref="CT73:CT83" si="94">ROUND((ROUND((AF73*AV73*1),2)*BA73),2)</f>
        <v>349.96</v>
      </c>
      <c r="CU73">
        <f t="shared" ref="CU73:CU83" si="95">AG73</f>
        <v>0</v>
      </c>
      <c r="CV73">
        <f t="shared" ref="CV73:CV83" si="96">(AH73*AV73)</f>
        <v>1.38</v>
      </c>
      <c r="CW73">
        <f t="shared" ref="CW73:CW83" si="97">AI73</f>
        <v>0</v>
      </c>
      <c r="CX73">
        <f t="shared" ref="CX73:CX83" si="98">AJ73</f>
        <v>0</v>
      </c>
      <c r="CY73">
        <f t="shared" ref="CY73:CY83" si="99">S73*(BZ73/100)</f>
        <v>97.271600000000007</v>
      </c>
      <c r="CZ73">
        <f t="shared" ref="CZ73:CZ83" si="100">S73*(CA73/100)</f>
        <v>52.865000000000002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98</v>
      </c>
      <c r="DO73">
        <v>77</v>
      </c>
      <c r="DP73">
        <v>1</v>
      </c>
      <c r="DQ73">
        <v>1</v>
      </c>
      <c r="DU73">
        <v>1013</v>
      </c>
      <c r="DV73" t="s">
        <v>18</v>
      </c>
      <c r="DW73" t="s">
        <v>18</v>
      </c>
      <c r="DX73">
        <v>1</v>
      </c>
      <c r="EE73">
        <v>33797437</v>
      </c>
      <c r="EF73">
        <v>30</v>
      </c>
      <c r="EG73" t="s">
        <v>20</v>
      </c>
      <c r="EH73">
        <v>0</v>
      </c>
      <c r="EI73" t="s">
        <v>3</v>
      </c>
      <c r="EJ73">
        <v>1</v>
      </c>
      <c r="EK73">
        <v>2</v>
      </c>
      <c r="EL73" t="s">
        <v>21</v>
      </c>
      <c r="EM73" t="s">
        <v>22</v>
      </c>
      <c r="EO73" t="s">
        <v>3</v>
      </c>
      <c r="EQ73">
        <v>131072</v>
      </c>
      <c r="ER73">
        <v>771.65</v>
      </c>
      <c r="ES73">
        <v>0</v>
      </c>
      <c r="ET73">
        <v>757.55</v>
      </c>
      <c r="EU73">
        <v>140.47999999999999</v>
      </c>
      <c r="EV73">
        <v>14.1</v>
      </c>
      <c r="EW73">
        <v>1.38</v>
      </c>
      <c r="EX73">
        <v>0</v>
      </c>
      <c r="EY73">
        <v>0</v>
      </c>
      <c r="FQ73">
        <v>0</v>
      </c>
      <c r="FR73">
        <f t="shared" ref="FR73:FR83" si="101">ROUND(IF(AND(BH73=3,BI73=3),P73,0),2)</f>
        <v>0</v>
      </c>
      <c r="FS73">
        <v>0</v>
      </c>
      <c r="FX73">
        <v>98</v>
      </c>
      <c r="FY73">
        <v>77</v>
      </c>
      <c r="GA73" t="s">
        <v>3</v>
      </c>
      <c r="GD73">
        <v>0</v>
      </c>
      <c r="GF73">
        <v>445216503</v>
      </c>
      <c r="GG73">
        <v>2</v>
      </c>
      <c r="GH73">
        <v>1</v>
      </c>
      <c r="GI73">
        <v>2</v>
      </c>
      <c r="GJ73">
        <v>0</v>
      </c>
      <c r="GK73">
        <f>ROUND(R73*(R12)/100,2)</f>
        <v>1652.61</v>
      </c>
      <c r="GL73">
        <f t="shared" ref="GL73:GL83" si="102">ROUND(IF(AND(BH73=3,BI73=3,FS73&lt;&gt;0),P73,0),2)</f>
        <v>0</v>
      </c>
      <c r="GM73">
        <f t="shared" ref="GM73:GM83" si="103">ROUND(O73+X73+Y73+GK73,2)+GX73</f>
        <v>4144.87</v>
      </c>
      <c r="GN73">
        <f t="shared" ref="GN73:GN83" si="104">IF(OR(BI73=0,BI73=1),ROUND(O73+X73+Y73+GK73,2),0)</f>
        <v>4144.87</v>
      </c>
      <c r="GO73">
        <f t="shared" ref="GO73:GO83" si="105">IF(BI73=2,ROUND(O73+X73+Y73+GK73,2),0)</f>
        <v>0</v>
      </c>
      <c r="GP73">
        <f t="shared" ref="GP73:GP83" si="106">IF(BI73=4,ROUND(O73+X73+Y73+GK73,2)+GX73,0)</f>
        <v>0</v>
      </c>
      <c r="GR73">
        <v>0</v>
      </c>
      <c r="GS73">
        <v>0</v>
      </c>
      <c r="GT73">
        <v>0</v>
      </c>
      <c r="GU73" t="s">
        <v>3</v>
      </c>
      <c r="GV73">
        <f t="shared" ref="GV73:GV83" si="107">ROUND((GT73),6)</f>
        <v>0</v>
      </c>
      <c r="GW73">
        <v>1</v>
      </c>
      <c r="GX73">
        <f t="shared" ref="GX73:GX83" si="108">ROUND(HC73*I73,2)</f>
        <v>0</v>
      </c>
      <c r="HA73">
        <v>0</v>
      </c>
      <c r="HB73">
        <v>0</v>
      </c>
      <c r="HC73">
        <f t="shared" ref="HC73:HC83" si="109">GV73*GW73</f>
        <v>0</v>
      </c>
      <c r="IK73">
        <v>0</v>
      </c>
    </row>
    <row r="74" spans="1:245">
      <c r="A74">
        <v>17</v>
      </c>
      <c r="B74">
        <v>1</v>
      </c>
      <c r="C74">
        <f>ROW(SmtRes!A33)</f>
        <v>33</v>
      </c>
      <c r="D74">
        <f>ROW(EtalonRes!A33)</f>
        <v>33</v>
      </c>
      <c r="E74" t="s">
        <v>125</v>
      </c>
      <c r="F74" t="s">
        <v>24</v>
      </c>
      <c r="G74" t="s">
        <v>25</v>
      </c>
      <c r="H74" t="s">
        <v>18</v>
      </c>
      <c r="I74">
        <f>ROUND(78*0.43*0.1/100,9)</f>
        <v>3.354E-2</v>
      </c>
      <c r="J74">
        <v>0</v>
      </c>
      <c r="O74">
        <f t="shared" si="70"/>
        <v>1700.42</v>
      </c>
      <c r="P74">
        <f t="shared" si="71"/>
        <v>0</v>
      </c>
      <c r="Q74">
        <f t="shared" si="72"/>
        <v>0</v>
      </c>
      <c r="R74">
        <f t="shared" si="73"/>
        <v>0</v>
      </c>
      <c r="S74">
        <f t="shared" si="74"/>
        <v>1700.42</v>
      </c>
      <c r="T74">
        <f t="shared" si="75"/>
        <v>0</v>
      </c>
      <c r="U74">
        <f t="shared" si="76"/>
        <v>6.463158</v>
      </c>
      <c r="V74">
        <f t="shared" si="77"/>
        <v>0</v>
      </c>
      <c r="W74">
        <f t="shared" si="78"/>
        <v>0</v>
      </c>
      <c r="X74">
        <f t="shared" si="79"/>
        <v>1445.36</v>
      </c>
      <c r="Y74">
        <f t="shared" si="80"/>
        <v>697.17</v>
      </c>
      <c r="AA74">
        <v>33985563</v>
      </c>
      <c r="AB74">
        <f t="shared" si="81"/>
        <v>2042.62</v>
      </c>
      <c r="AC74">
        <f t="shared" si="82"/>
        <v>0</v>
      </c>
      <c r="AD74">
        <f t="shared" si="83"/>
        <v>0</v>
      </c>
      <c r="AE74">
        <f t="shared" si="84"/>
        <v>0</v>
      </c>
      <c r="AF74">
        <f t="shared" si="85"/>
        <v>2042.62</v>
      </c>
      <c r="AG74">
        <f t="shared" si="86"/>
        <v>0</v>
      </c>
      <c r="AH74">
        <f t="shared" si="87"/>
        <v>192.7</v>
      </c>
      <c r="AI74">
        <f t="shared" si="88"/>
        <v>0</v>
      </c>
      <c r="AJ74">
        <f t="shared" si="89"/>
        <v>0</v>
      </c>
      <c r="AK74">
        <v>2042.62</v>
      </c>
      <c r="AL74">
        <v>0</v>
      </c>
      <c r="AM74">
        <v>0</v>
      </c>
      <c r="AN74">
        <v>0</v>
      </c>
      <c r="AO74">
        <v>2042.62</v>
      </c>
      <c r="AP74">
        <v>0</v>
      </c>
      <c r="AQ74">
        <v>192.7</v>
      </c>
      <c r="AR74">
        <v>0</v>
      </c>
      <c r="AS74">
        <v>0</v>
      </c>
      <c r="AT74">
        <v>85</v>
      </c>
      <c r="AU74">
        <v>41</v>
      </c>
      <c r="AV74">
        <v>1</v>
      </c>
      <c r="AW74">
        <v>1</v>
      </c>
      <c r="AZ74">
        <v>1</v>
      </c>
      <c r="BA74">
        <v>24.82</v>
      </c>
      <c r="BB74">
        <v>1</v>
      </c>
      <c r="BC74">
        <v>1</v>
      </c>
      <c r="BD74" t="s">
        <v>3</v>
      </c>
      <c r="BE74" t="s">
        <v>3</v>
      </c>
      <c r="BF74" t="s">
        <v>3</v>
      </c>
      <c r="BG74" t="s">
        <v>3</v>
      </c>
      <c r="BH74">
        <v>0</v>
      </c>
      <c r="BI74">
        <v>1</v>
      </c>
      <c r="BJ74" t="s">
        <v>26</v>
      </c>
      <c r="BM74">
        <v>16</v>
      </c>
      <c r="BN74">
        <v>0</v>
      </c>
      <c r="BO74" t="s">
        <v>24</v>
      </c>
      <c r="BP74">
        <v>1</v>
      </c>
      <c r="BQ74">
        <v>30</v>
      </c>
      <c r="BR74">
        <v>0</v>
      </c>
      <c r="BS74">
        <v>24.82</v>
      </c>
      <c r="BT74">
        <v>1</v>
      </c>
      <c r="BU74">
        <v>1</v>
      </c>
      <c r="BV74">
        <v>1</v>
      </c>
      <c r="BW74">
        <v>1</v>
      </c>
      <c r="BX74">
        <v>1</v>
      </c>
      <c r="BY74" t="s">
        <v>3</v>
      </c>
      <c r="BZ74">
        <v>85</v>
      </c>
      <c r="CA74">
        <v>41</v>
      </c>
      <c r="CE74">
        <v>30</v>
      </c>
      <c r="CF74">
        <v>0</v>
      </c>
      <c r="CG74">
        <v>0</v>
      </c>
      <c r="CM74">
        <v>0</v>
      </c>
      <c r="CN74" t="s">
        <v>3</v>
      </c>
      <c r="CO74">
        <v>0</v>
      </c>
      <c r="CP74">
        <f t="shared" si="90"/>
        <v>1700.42</v>
      </c>
      <c r="CQ74">
        <f t="shared" si="91"/>
        <v>0</v>
      </c>
      <c r="CR74">
        <f t="shared" si="92"/>
        <v>0</v>
      </c>
      <c r="CS74">
        <f t="shared" si="93"/>
        <v>0</v>
      </c>
      <c r="CT74">
        <f t="shared" si="94"/>
        <v>50697.83</v>
      </c>
      <c r="CU74">
        <f t="shared" si="95"/>
        <v>0</v>
      </c>
      <c r="CV74">
        <f t="shared" si="96"/>
        <v>192.7</v>
      </c>
      <c r="CW74">
        <f t="shared" si="97"/>
        <v>0</v>
      </c>
      <c r="CX74">
        <f t="shared" si="98"/>
        <v>0</v>
      </c>
      <c r="CY74">
        <f t="shared" si="99"/>
        <v>1445.357</v>
      </c>
      <c r="CZ74">
        <f t="shared" si="100"/>
        <v>697.17219999999998</v>
      </c>
      <c r="DC74" t="s">
        <v>3</v>
      </c>
      <c r="DD74" t="s">
        <v>3</v>
      </c>
      <c r="DE74" t="s">
        <v>3</v>
      </c>
      <c r="DF74" t="s">
        <v>3</v>
      </c>
      <c r="DG74" t="s">
        <v>3</v>
      </c>
      <c r="DH74" t="s">
        <v>3</v>
      </c>
      <c r="DI74" t="s">
        <v>3</v>
      </c>
      <c r="DJ74" t="s">
        <v>3</v>
      </c>
      <c r="DK74" t="s">
        <v>3</v>
      </c>
      <c r="DL74" t="s">
        <v>3</v>
      </c>
      <c r="DM74" t="s">
        <v>3</v>
      </c>
      <c r="DN74">
        <v>105</v>
      </c>
      <c r="DO74">
        <v>77</v>
      </c>
      <c r="DP74">
        <v>1</v>
      </c>
      <c r="DQ74">
        <v>1</v>
      </c>
      <c r="DU74">
        <v>1013</v>
      </c>
      <c r="DV74" t="s">
        <v>18</v>
      </c>
      <c r="DW74" t="s">
        <v>18</v>
      </c>
      <c r="DX74">
        <v>1</v>
      </c>
      <c r="EE74">
        <v>33797451</v>
      </c>
      <c r="EF74">
        <v>30</v>
      </c>
      <c r="EG74" t="s">
        <v>20</v>
      </c>
      <c r="EH74">
        <v>0</v>
      </c>
      <c r="EI74" t="s">
        <v>3</v>
      </c>
      <c r="EJ74">
        <v>1</v>
      </c>
      <c r="EK74">
        <v>16</v>
      </c>
      <c r="EL74" t="s">
        <v>27</v>
      </c>
      <c r="EM74" t="s">
        <v>28</v>
      </c>
      <c r="EO74" t="s">
        <v>3</v>
      </c>
      <c r="EQ74">
        <v>131072</v>
      </c>
      <c r="ER74">
        <v>2042.62</v>
      </c>
      <c r="ES74">
        <v>0</v>
      </c>
      <c r="ET74">
        <v>0</v>
      </c>
      <c r="EU74">
        <v>0</v>
      </c>
      <c r="EV74">
        <v>2042.62</v>
      </c>
      <c r="EW74">
        <v>192.7</v>
      </c>
      <c r="EX74">
        <v>0</v>
      </c>
      <c r="EY74">
        <v>0</v>
      </c>
      <c r="FQ74">
        <v>0</v>
      </c>
      <c r="FR74">
        <f t="shared" si="101"/>
        <v>0</v>
      </c>
      <c r="FS74">
        <v>0</v>
      </c>
      <c r="FX74">
        <v>105</v>
      </c>
      <c r="FY74">
        <v>77</v>
      </c>
      <c r="GA74" t="s">
        <v>3</v>
      </c>
      <c r="GD74">
        <v>0</v>
      </c>
      <c r="GF74">
        <v>-1632341149</v>
      </c>
      <c r="GG74">
        <v>2</v>
      </c>
      <c r="GH74">
        <v>1</v>
      </c>
      <c r="GI74">
        <v>2</v>
      </c>
      <c r="GJ74">
        <v>0</v>
      </c>
      <c r="GK74">
        <f>ROUND(R74*(R12)/100,2)</f>
        <v>0</v>
      </c>
      <c r="GL74">
        <f t="shared" si="102"/>
        <v>0</v>
      </c>
      <c r="GM74">
        <f t="shared" si="103"/>
        <v>3842.95</v>
      </c>
      <c r="GN74">
        <f t="shared" si="104"/>
        <v>3842.95</v>
      </c>
      <c r="GO74">
        <f t="shared" si="105"/>
        <v>0</v>
      </c>
      <c r="GP74">
        <f t="shared" si="106"/>
        <v>0</v>
      </c>
      <c r="GR74">
        <v>0</v>
      </c>
      <c r="GS74">
        <v>0</v>
      </c>
      <c r="GT74">
        <v>0</v>
      </c>
      <c r="GU74" t="s">
        <v>3</v>
      </c>
      <c r="GV74">
        <f t="shared" si="107"/>
        <v>0</v>
      </c>
      <c r="GW74">
        <v>1</v>
      </c>
      <c r="GX74">
        <f t="shared" si="108"/>
        <v>0</v>
      </c>
      <c r="HA74">
        <v>0</v>
      </c>
      <c r="HB74">
        <v>0</v>
      </c>
      <c r="HC74">
        <f t="shared" si="109"/>
        <v>0</v>
      </c>
      <c r="IK74">
        <v>0</v>
      </c>
    </row>
    <row r="75" spans="1:245">
      <c r="A75">
        <v>17</v>
      </c>
      <c r="B75">
        <v>1</v>
      </c>
      <c r="C75">
        <f>ROW(SmtRes!A34)</f>
        <v>34</v>
      </c>
      <c r="D75">
        <f>ROW(EtalonRes!A34)</f>
        <v>34</v>
      </c>
      <c r="E75" t="s">
        <v>126</v>
      </c>
      <c r="F75" t="s">
        <v>31</v>
      </c>
      <c r="G75" t="s">
        <v>32</v>
      </c>
      <c r="H75" t="s">
        <v>18</v>
      </c>
      <c r="I75">
        <f>ROUND((I74*100)/100,9)</f>
        <v>3.354E-2</v>
      </c>
      <c r="J75">
        <v>0</v>
      </c>
      <c r="O75">
        <f t="shared" si="70"/>
        <v>661.95</v>
      </c>
      <c r="P75">
        <f t="shared" si="71"/>
        <v>0</v>
      </c>
      <c r="Q75">
        <f t="shared" si="72"/>
        <v>0</v>
      </c>
      <c r="R75">
        <f t="shared" si="73"/>
        <v>0</v>
      </c>
      <c r="S75">
        <f t="shared" si="74"/>
        <v>661.95</v>
      </c>
      <c r="T75">
        <f t="shared" si="75"/>
        <v>0</v>
      </c>
      <c r="U75">
        <f t="shared" si="76"/>
        <v>2.78382</v>
      </c>
      <c r="V75">
        <f t="shared" si="77"/>
        <v>0</v>
      </c>
      <c r="W75">
        <f t="shared" si="78"/>
        <v>0</v>
      </c>
      <c r="X75">
        <f t="shared" si="79"/>
        <v>483.22</v>
      </c>
      <c r="Y75">
        <f t="shared" si="80"/>
        <v>271.39999999999998</v>
      </c>
      <c r="AA75">
        <v>33985563</v>
      </c>
      <c r="AB75">
        <f t="shared" si="81"/>
        <v>795.14</v>
      </c>
      <c r="AC75">
        <f t="shared" si="82"/>
        <v>0</v>
      </c>
      <c r="AD75">
        <f t="shared" si="83"/>
        <v>0</v>
      </c>
      <c r="AE75">
        <f t="shared" si="84"/>
        <v>0</v>
      </c>
      <c r="AF75">
        <f t="shared" si="85"/>
        <v>795.14</v>
      </c>
      <c r="AG75">
        <f t="shared" si="86"/>
        <v>0</v>
      </c>
      <c r="AH75">
        <f t="shared" si="87"/>
        <v>83</v>
      </c>
      <c r="AI75">
        <f t="shared" si="88"/>
        <v>0</v>
      </c>
      <c r="AJ75">
        <f t="shared" si="89"/>
        <v>0</v>
      </c>
      <c r="AK75">
        <v>795.14</v>
      </c>
      <c r="AL75">
        <v>0</v>
      </c>
      <c r="AM75">
        <v>0</v>
      </c>
      <c r="AN75">
        <v>0</v>
      </c>
      <c r="AO75">
        <v>795.14</v>
      </c>
      <c r="AP75">
        <v>0</v>
      </c>
      <c r="AQ75">
        <v>83</v>
      </c>
      <c r="AR75">
        <v>0</v>
      </c>
      <c r="AS75">
        <v>0</v>
      </c>
      <c r="AT75">
        <v>73</v>
      </c>
      <c r="AU75">
        <v>41</v>
      </c>
      <c r="AV75">
        <v>1</v>
      </c>
      <c r="AW75">
        <v>1</v>
      </c>
      <c r="AZ75">
        <v>1</v>
      </c>
      <c r="BA75">
        <v>24.82</v>
      </c>
      <c r="BB75">
        <v>1</v>
      </c>
      <c r="BC75">
        <v>1</v>
      </c>
      <c r="BD75" t="s">
        <v>3</v>
      </c>
      <c r="BE75" t="s">
        <v>3</v>
      </c>
      <c r="BF75" t="s">
        <v>3</v>
      </c>
      <c r="BG75" t="s">
        <v>3</v>
      </c>
      <c r="BH75">
        <v>0</v>
      </c>
      <c r="BI75">
        <v>1</v>
      </c>
      <c r="BJ75" t="s">
        <v>33</v>
      </c>
      <c r="BM75">
        <v>393</v>
      </c>
      <c r="BN75">
        <v>0</v>
      </c>
      <c r="BO75" t="s">
        <v>31</v>
      </c>
      <c r="BP75">
        <v>1</v>
      </c>
      <c r="BQ75">
        <v>60</v>
      </c>
      <c r="BR75">
        <v>0</v>
      </c>
      <c r="BS75">
        <v>24.82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73</v>
      </c>
      <c r="CA75">
        <v>41</v>
      </c>
      <c r="CE75">
        <v>30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90"/>
        <v>661.95</v>
      </c>
      <c r="CQ75">
        <f t="shared" si="91"/>
        <v>0</v>
      </c>
      <c r="CR75">
        <f t="shared" si="92"/>
        <v>0</v>
      </c>
      <c r="CS75">
        <f t="shared" si="93"/>
        <v>0</v>
      </c>
      <c r="CT75">
        <f t="shared" si="94"/>
        <v>19735.37</v>
      </c>
      <c r="CU75">
        <f t="shared" si="95"/>
        <v>0</v>
      </c>
      <c r="CV75">
        <f t="shared" si="96"/>
        <v>83</v>
      </c>
      <c r="CW75">
        <f t="shared" si="97"/>
        <v>0</v>
      </c>
      <c r="CX75">
        <f t="shared" si="98"/>
        <v>0</v>
      </c>
      <c r="CY75">
        <f t="shared" si="99"/>
        <v>483.2235</v>
      </c>
      <c r="CZ75">
        <f t="shared" si="100"/>
        <v>271.39949999999999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91</v>
      </c>
      <c r="DO75">
        <v>67</v>
      </c>
      <c r="DP75">
        <v>1</v>
      </c>
      <c r="DQ75">
        <v>1</v>
      </c>
      <c r="DU75">
        <v>1013</v>
      </c>
      <c r="DV75" t="s">
        <v>18</v>
      </c>
      <c r="DW75" t="s">
        <v>18</v>
      </c>
      <c r="DX75">
        <v>1</v>
      </c>
      <c r="EE75">
        <v>33795827</v>
      </c>
      <c r="EF75">
        <v>60</v>
      </c>
      <c r="EG75" t="s">
        <v>34</v>
      </c>
      <c r="EH75">
        <v>0</v>
      </c>
      <c r="EI75" t="s">
        <v>3</v>
      </c>
      <c r="EJ75">
        <v>1</v>
      </c>
      <c r="EK75">
        <v>393</v>
      </c>
      <c r="EL75" t="s">
        <v>35</v>
      </c>
      <c r="EM75" t="s">
        <v>36</v>
      </c>
      <c r="EO75" t="s">
        <v>3</v>
      </c>
      <c r="EQ75">
        <v>131072</v>
      </c>
      <c r="ER75">
        <v>795.14</v>
      </c>
      <c r="ES75">
        <v>0</v>
      </c>
      <c r="ET75">
        <v>0</v>
      </c>
      <c r="EU75">
        <v>0</v>
      </c>
      <c r="EV75">
        <v>795.14</v>
      </c>
      <c r="EW75">
        <v>83</v>
      </c>
      <c r="EX75">
        <v>0</v>
      </c>
      <c r="EY75">
        <v>0</v>
      </c>
      <c r="FQ75">
        <v>0</v>
      </c>
      <c r="FR75">
        <f t="shared" si="101"/>
        <v>0</v>
      </c>
      <c r="FS75">
        <v>0</v>
      </c>
      <c r="FX75">
        <v>91</v>
      </c>
      <c r="FY75">
        <v>67</v>
      </c>
      <c r="GA75" t="s">
        <v>3</v>
      </c>
      <c r="GD75">
        <v>0</v>
      </c>
      <c r="GF75">
        <v>2144161260</v>
      </c>
      <c r="GG75">
        <v>2</v>
      </c>
      <c r="GH75">
        <v>1</v>
      </c>
      <c r="GI75">
        <v>2</v>
      </c>
      <c r="GJ75">
        <v>0</v>
      </c>
      <c r="GK75">
        <f>ROUND(R75*(R12)/100,2)</f>
        <v>0</v>
      </c>
      <c r="GL75">
        <f t="shared" si="102"/>
        <v>0</v>
      </c>
      <c r="GM75">
        <f t="shared" si="103"/>
        <v>1416.57</v>
      </c>
      <c r="GN75">
        <f t="shared" si="104"/>
        <v>1416.57</v>
      </c>
      <c r="GO75">
        <f t="shared" si="105"/>
        <v>0</v>
      </c>
      <c r="GP75">
        <f t="shared" si="106"/>
        <v>0</v>
      </c>
      <c r="GR75">
        <v>0</v>
      </c>
      <c r="GS75">
        <v>0</v>
      </c>
      <c r="GT75">
        <v>0</v>
      </c>
      <c r="GU75" t="s">
        <v>3</v>
      </c>
      <c r="GV75">
        <f t="shared" si="107"/>
        <v>0</v>
      </c>
      <c r="GW75">
        <v>1</v>
      </c>
      <c r="GX75">
        <f t="shared" si="108"/>
        <v>0</v>
      </c>
      <c r="HA75">
        <v>0</v>
      </c>
      <c r="HB75">
        <v>0</v>
      </c>
      <c r="HC75">
        <f t="shared" si="109"/>
        <v>0</v>
      </c>
      <c r="IK75">
        <v>0</v>
      </c>
    </row>
    <row r="76" spans="1:245">
      <c r="A76">
        <v>17</v>
      </c>
      <c r="B76">
        <v>1</v>
      </c>
      <c r="C76">
        <f>ROW(SmtRes!A42)</f>
        <v>42</v>
      </c>
      <c r="D76">
        <f>ROW(EtalonRes!A42)</f>
        <v>42</v>
      </c>
      <c r="E76" t="s">
        <v>127</v>
      </c>
      <c r="F76" t="s">
        <v>38</v>
      </c>
      <c r="G76" t="s">
        <v>39</v>
      </c>
      <c r="H76" t="s">
        <v>40</v>
      </c>
      <c r="I76">
        <f>ROUND(78*0.2/100,9)</f>
        <v>0.156</v>
      </c>
      <c r="J76">
        <v>0</v>
      </c>
      <c r="O76">
        <f t="shared" si="70"/>
        <v>1623.91</v>
      </c>
      <c r="P76">
        <f t="shared" si="71"/>
        <v>27.49</v>
      </c>
      <c r="Q76">
        <f t="shared" si="72"/>
        <v>1009.92</v>
      </c>
      <c r="R76">
        <f t="shared" si="73"/>
        <v>460.91</v>
      </c>
      <c r="S76">
        <f t="shared" si="74"/>
        <v>586.5</v>
      </c>
      <c r="T76">
        <f t="shared" si="75"/>
        <v>0</v>
      </c>
      <c r="U76">
        <f t="shared" si="76"/>
        <v>2.2464</v>
      </c>
      <c r="V76">
        <f t="shared" si="77"/>
        <v>0</v>
      </c>
      <c r="W76">
        <f t="shared" si="78"/>
        <v>0</v>
      </c>
      <c r="X76">
        <f t="shared" si="79"/>
        <v>768.32</v>
      </c>
      <c r="Y76">
        <f t="shared" si="80"/>
        <v>316.70999999999998</v>
      </c>
      <c r="AA76">
        <v>33985563</v>
      </c>
      <c r="AB76">
        <f t="shared" si="81"/>
        <v>863.31</v>
      </c>
      <c r="AC76">
        <f t="shared" si="82"/>
        <v>35.35</v>
      </c>
      <c r="AD76">
        <f t="shared" si="83"/>
        <v>676.47</v>
      </c>
      <c r="AE76">
        <f t="shared" si="84"/>
        <v>119.05</v>
      </c>
      <c r="AF76">
        <f t="shared" si="85"/>
        <v>151.49</v>
      </c>
      <c r="AG76">
        <f t="shared" si="86"/>
        <v>0</v>
      </c>
      <c r="AH76">
        <f t="shared" si="87"/>
        <v>14.4</v>
      </c>
      <c r="AI76">
        <f t="shared" si="88"/>
        <v>0</v>
      </c>
      <c r="AJ76">
        <f t="shared" si="89"/>
        <v>0</v>
      </c>
      <c r="AK76">
        <v>863.31</v>
      </c>
      <c r="AL76">
        <v>35.35</v>
      </c>
      <c r="AM76">
        <v>676.47</v>
      </c>
      <c r="AN76">
        <v>119.05</v>
      </c>
      <c r="AO76">
        <v>151.49</v>
      </c>
      <c r="AP76">
        <v>0</v>
      </c>
      <c r="AQ76">
        <v>14.4</v>
      </c>
      <c r="AR76">
        <v>0</v>
      </c>
      <c r="AS76">
        <v>0</v>
      </c>
      <c r="AT76">
        <v>131</v>
      </c>
      <c r="AU76">
        <v>54</v>
      </c>
      <c r="AV76">
        <v>1</v>
      </c>
      <c r="AW76">
        <v>1</v>
      </c>
      <c r="AZ76">
        <v>1</v>
      </c>
      <c r="BA76">
        <v>24.82</v>
      </c>
      <c r="BB76">
        <v>9.57</v>
      </c>
      <c r="BC76">
        <v>4.99</v>
      </c>
      <c r="BD76" t="s">
        <v>3</v>
      </c>
      <c r="BE76" t="s">
        <v>3</v>
      </c>
      <c r="BF76" t="s">
        <v>3</v>
      </c>
      <c r="BG76" t="s">
        <v>3</v>
      </c>
      <c r="BH76">
        <v>0</v>
      </c>
      <c r="BI76">
        <v>1</v>
      </c>
      <c r="BJ76" t="s">
        <v>41</v>
      </c>
      <c r="BM76">
        <v>146</v>
      </c>
      <c r="BN76">
        <v>0</v>
      </c>
      <c r="BO76" t="s">
        <v>38</v>
      </c>
      <c r="BP76">
        <v>1</v>
      </c>
      <c r="BQ76">
        <v>30</v>
      </c>
      <c r="BR76">
        <v>0</v>
      </c>
      <c r="BS76">
        <v>24.82</v>
      </c>
      <c r="BT76">
        <v>1</v>
      </c>
      <c r="BU76">
        <v>1</v>
      </c>
      <c r="BV76">
        <v>1</v>
      </c>
      <c r="BW76">
        <v>1</v>
      </c>
      <c r="BX76">
        <v>1</v>
      </c>
      <c r="BY76" t="s">
        <v>3</v>
      </c>
      <c r="BZ76">
        <v>131</v>
      </c>
      <c r="CA76">
        <v>54</v>
      </c>
      <c r="CE76">
        <v>30</v>
      </c>
      <c r="CF76">
        <v>0</v>
      </c>
      <c r="CG76">
        <v>0</v>
      </c>
      <c r="CM76">
        <v>0</v>
      </c>
      <c r="CN76" t="s">
        <v>3</v>
      </c>
      <c r="CO76">
        <v>0</v>
      </c>
      <c r="CP76">
        <f t="shared" si="90"/>
        <v>1623.9099999999999</v>
      </c>
      <c r="CQ76">
        <f t="shared" si="91"/>
        <v>176.4</v>
      </c>
      <c r="CR76">
        <f t="shared" si="92"/>
        <v>6473.82</v>
      </c>
      <c r="CS76">
        <f t="shared" si="93"/>
        <v>2954.82</v>
      </c>
      <c r="CT76">
        <f t="shared" si="94"/>
        <v>3759.98</v>
      </c>
      <c r="CU76">
        <f t="shared" si="95"/>
        <v>0</v>
      </c>
      <c r="CV76">
        <f t="shared" si="96"/>
        <v>14.4</v>
      </c>
      <c r="CW76">
        <f t="shared" si="97"/>
        <v>0</v>
      </c>
      <c r="CX76">
        <f t="shared" si="98"/>
        <v>0</v>
      </c>
      <c r="CY76">
        <f t="shared" si="99"/>
        <v>768.31500000000005</v>
      </c>
      <c r="CZ76">
        <f t="shared" si="100"/>
        <v>316.71000000000004</v>
      </c>
      <c r="DC76" t="s">
        <v>3</v>
      </c>
      <c r="DD76" t="s">
        <v>3</v>
      </c>
      <c r="DE76" t="s">
        <v>3</v>
      </c>
      <c r="DF76" t="s">
        <v>3</v>
      </c>
      <c r="DG76" t="s">
        <v>3</v>
      </c>
      <c r="DH76" t="s">
        <v>3</v>
      </c>
      <c r="DI76" t="s">
        <v>3</v>
      </c>
      <c r="DJ76" t="s">
        <v>3</v>
      </c>
      <c r="DK76" t="s">
        <v>3</v>
      </c>
      <c r="DL76" t="s">
        <v>3</v>
      </c>
      <c r="DM76" t="s">
        <v>3</v>
      </c>
      <c r="DN76">
        <v>161</v>
      </c>
      <c r="DO76">
        <v>107</v>
      </c>
      <c r="DP76">
        <v>1</v>
      </c>
      <c r="DQ76">
        <v>1</v>
      </c>
      <c r="DU76">
        <v>1013</v>
      </c>
      <c r="DV76" t="s">
        <v>40</v>
      </c>
      <c r="DW76" t="s">
        <v>40</v>
      </c>
      <c r="DX76">
        <v>1</v>
      </c>
      <c r="EE76">
        <v>33795580</v>
      </c>
      <c r="EF76">
        <v>30</v>
      </c>
      <c r="EG76" t="s">
        <v>20</v>
      </c>
      <c r="EH76">
        <v>0</v>
      </c>
      <c r="EI76" t="s">
        <v>3</v>
      </c>
      <c r="EJ76">
        <v>1</v>
      </c>
      <c r="EK76">
        <v>146</v>
      </c>
      <c r="EL76" t="s">
        <v>42</v>
      </c>
      <c r="EM76" t="s">
        <v>43</v>
      </c>
      <c r="EO76" t="s">
        <v>3</v>
      </c>
      <c r="EQ76">
        <v>131072</v>
      </c>
      <c r="ER76">
        <v>863.31</v>
      </c>
      <c r="ES76">
        <v>35.35</v>
      </c>
      <c r="ET76">
        <v>676.47</v>
      </c>
      <c r="EU76">
        <v>119.05</v>
      </c>
      <c r="EV76">
        <v>151.49</v>
      </c>
      <c r="EW76">
        <v>14.4</v>
      </c>
      <c r="EX76">
        <v>0</v>
      </c>
      <c r="EY76">
        <v>0</v>
      </c>
      <c r="FQ76">
        <v>0</v>
      </c>
      <c r="FR76">
        <f t="shared" si="101"/>
        <v>0</v>
      </c>
      <c r="FS76">
        <v>0</v>
      </c>
      <c r="FX76">
        <v>161</v>
      </c>
      <c r="FY76">
        <v>107</v>
      </c>
      <c r="GA76" t="s">
        <v>3</v>
      </c>
      <c r="GD76">
        <v>0</v>
      </c>
      <c r="GF76">
        <v>-1939963274</v>
      </c>
      <c r="GG76">
        <v>2</v>
      </c>
      <c r="GH76">
        <v>1</v>
      </c>
      <c r="GI76">
        <v>2</v>
      </c>
      <c r="GJ76">
        <v>0</v>
      </c>
      <c r="GK76">
        <f>ROUND(R76*(R12)/100,2)</f>
        <v>723.63</v>
      </c>
      <c r="GL76">
        <f t="shared" si="102"/>
        <v>0</v>
      </c>
      <c r="GM76">
        <f t="shared" si="103"/>
        <v>3432.57</v>
      </c>
      <c r="GN76">
        <f t="shared" si="104"/>
        <v>3432.57</v>
      </c>
      <c r="GO76">
        <f t="shared" si="105"/>
        <v>0</v>
      </c>
      <c r="GP76">
        <f t="shared" si="106"/>
        <v>0</v>
      </c>
      <c r="GR76">
        <v>0</v>
      </c>
      <c r="GS76">
        <v>0</v>
      </c>
      <c r="GT76">
        <v>0</v>
      </c>
      <c r="GU76" t="s">
        <v>3</v>
      </c>
      <c r="GV76">
        <f t="shared" si="107"/>
        <v>0</v>
      </c>
      <c r="GW76">
        <v>1</v>
      </c>
      <c r="GX76">
        <f t="shared" si="108"/>
        <v>0</v>
      </c>
      <c r="HA76">
        <v>0</v>
      </c>
      <c r="HB76">
        <v>0</v>
      </c>
      <c r="HC76">
        <f t="shared" si="109"/>
        <v>0</v>
      </c>
      <c r="IK76">
        <v>0</v>
      </c>
    </row>
    <row r="77" spans="1:245">
      <c r="A77">
        <v>18</v>
      </c>
      <c r="B77">
        <v>1</v>
      </c>
      <c r="C77">
        <v>42</v>
      </c>
      <c r="E77" t="s">
        <v>128</v>
      </c>
      <c r="F77" t="s">
        <v>45</v>
      </c>
      <c r="G77" t="s">
        <v>46</v>
      </c>
      <c r="H77" t="s">
        <v>47</v>
      </c>
      <c r="I77">
        <f>I76*J77</f>
        <v>17.16</v>
      </c>
      <c r="J77">
        <v>110</v>
      </c>
      <c r="O77">
        <f t="shared" si="70"/>
        <v>9476.57</v>
      </c>
      <c r="P77">
        <f t="shared" si="71"/>
        <v>9476.57</v>
      </c>
      <c r="Q77">
        <f t="shared" si="72"/>
        <v>0</v>
      </c>
      <c r="R77">
        <f t="shared" si="73"/>
        <v>0</v>
      </c>
      <c r="S77">
        <f t="shared" si="74"/>
        <v>0</v>
      </c>
      <c r="T77">
        <f t="shared" si="75"/>
        <v>0</v>
      </c>
      <c r="U77">
        <f t="shared" si="76"/>
        <v>0</v>
      </c>
      <c r="V77">
        <f t="shared" si="77"/>
        <v>0</v>
      </c>
      <c r="W77">
        <f t="shared" si="78"/>
        <v>0</v>
      </c>
      <c r="X77">
        <f t="shared" si="79"/>
        <v>0</v>
      </c>
      <c r="Y77">
        <f t="shared" si="80"/>
        <v>0</v>
      </c>
      <c r="AA77">
        <v>33985563</v>
      </c>
      <c r="AB77">
        <f t="shared" si="81"/>
        <v>104.99</v>
      </c>
      <c r="AC77">
        <f t="shared" si="82"/>
        <v>104.99</v>
      </c>
      <c r="AD77">
        <f t="shared" si="83"/>
        <v>0</v>
      </c>
      <c r="AE77">
        <f t="shared" si="84"/>
        <v>0</v>
      </c>
      <c r="AF77">
        <f t="shared" si="85"/>
        <v>0</v>
      </c>
      <c r="AG77">
        <f t="shared" si="86"/>
        <v>0</v>
      </c>
      <c r="AH77">
        <f t="shared" si="87"/>
        <v>0</v>
      </c>
      <c r="AI77">
        <f t="shared" si="88"/>
        <v>0</v>
      </c>
      <c r="AJ77">
        <f t="shared" si="89"/>
        <v>0</v>
      </c>
      <c r="AK77">
        <v>104.99</v>
      </c>
      <c r="AL77">
        <v>104.99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v>5.26</v>
      </c>
      <c r="BD77" t="s">
        <v>3</v>
      </c>
      <c r="BE77" t="s">
        <v>3</v>
      </c>
      <c r="BF77" t="s">
        <v>3</v>
      </c>
      <c r="BG77" t="s">
        <v>3</v>
      </c>
      <c r="BH77">
        <v>3</v>
      </c>
      <c r="BI77">
        <v>1</v>
      </c>
      <c r="BJ77" t="s">
        <v>48</v>
      </c>
      <c r="BM77">
        <v>146</v>
      </c>
      <c r="BN77">
        <v>0</v>
      </c>
      <c r="BO77" t="s">
        <v>45</v>
      </c>
      <c r="BP77">
        <v>1</v>
      </c>
      <c r="BQ77">
        <v>30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0</v>
      </c>
      <c r="CA77">
        <v>0</v>
      </c>
      <c r="CE77">
        <v>30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90"/>
        <v>9476.57</v>
      </c>
      <c r="CQ77">
        <f t="shared" si="91"/>
        <v>552.25</v>
      </c>
      <c r="CR77">
        <f t="shared" si="92"/>
        <v>0</v>
      </c>
      <c r="CS77">
        <f t="shared" si="93"/>
        <v>0</v>
      </c>
      <c r="CT77">
        <f t="shared" si="94"/>
        <v>0</v>
      </c>
      <c r="CU77">
        <f t="shared" si="95"/>
        <v>0</v>
      </c>
      <c r="CV77">
        <f t="shared" si="96"/>
        <v>0</v>
      </c>
      <c r="CW77">
        <f t="shared" si="97"/>
        <v>0</v>
      </c>
      <c r="CX77">
        <f t="shared" si="98"/>
        <v>0</v>
      </c>
      <c r="CY77">
        <f t="shared" si="99"/>
        <v>0</v>
      </c>
      <c r="CZ77">
        <f t="shared" si="100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161</v>
      </c>
      <c r="DO77">
        <v>107</v>
      </c>
      <c r="DP77">
        <v>1</v>
      </c>
      <c r="DQ77">
        <v>1</v>
      </c>
      <c r="DU77">
        <v>1007</v>
      </c>
      <c r="DV77" t="s">
        <v>47</v>
      </c>
      <c r="DW77" t="s">
        <v>47</v>
      </c>
      <c r="DX77">
        <v>1</v>
      </c>
      <c r="EE77">
        <v>33795580</v>
      </c>
      <c r="EF77">
        <v>30</v>
      </c>
      <c r="EG77" t="s">
        <v>20</v>
      </c>
      <c r="EH77">
        <v>0</v>
      </c>
      <c r="EI77" t="s">
        <v>3</v>
      </c>
      <c r="EJ77">
        <v>1</v>
      </c>
      <c r="EK77">
        <v>146</v>
      </c>
      <c r="EL77" t="s">
        <v>42</v>
      </c>
      <c r="EM77" t="s">
        <v>43</v>
      </c>
      <c r="EO77" t="s">
        <v>3</v>
      </c>
      <c r="EQ77">
        <v>0</v>
      </c>
      <c r="ER77">
        <v>104.99</v>
      </c>
      <c r="ES77">
        <v>104.99</v>
      </c>
      <c r="ET77">
        <v>0</v>
      </c>
      <c r="EU77">
        <v>0</v>
      </c>
      <c r="EV77">
        <v>0</v>
      </c>
      <c r="EW77">
        <v>0</v>
      </c>
      <c r="EX77">
        <v>0</v>
      </c>
      <c r="FQ77">
        <v>0</v>
      </c>
      <c r="FR77">
        <f t="shared" si="101"/>
        <v>0</v>
      </c>
      <c r="FS77">
        <v>0</v>
      </c>
      <c r="FX77">
        <v>161</v>
      </c>
      <c r="FY77">
        <v>107</v>
      </c>
      <c r="GA77" t="s">
        <v>3</v>
      </c>
      <c r="GD77">
        <v>0</v>
      </c>
      <c r="GF77">
        <v>2069056849</v>
      </c>
      <c r="GG77">
        <v>2</v>
      </c>
      <c r="GH77">
        <v>1</v>
      </c>
      <c r="GI77">
        <v>2</v>
      </c>
      <c r="GJ77">
        <v>0</v>
      </c>
      <c r="GK77">
        <f>ROUND(R77*(R12)/100,2)</f>
        <v>0</v>
      </c>
      <c r="GL77">
        <f t="shared" si="102"/>
        <v>0</v>
      </c>
      <c r="GM77">
        <f t="shared" si="103"/>
        <v>9476.57</v>
      </c>
      <c r="GN77">
        <f t="shared" si="104"/>
        <v>9476.57</v>
      </c>
      <c r="GO77">
        <f t="shared" si="105"/>
        <v>0</v>
      </c>
      <c r="GP77">
        <f t="shared" si="106"/>
        <v>0</v>
      </c>
      <c r="GR77">
        <v>0</v>
      </c>
      <c r="GS77">
        <v>0</v>
      </c>
      <c r="GT77">
        <v>0</v>
      </c>
      <c r="GU77" t="s">
        <v>3</v>
      </c>
      <c r="GV77">
        <f t="shared" si="107"/>
        <v>0</v>
      </c>
      <c r="GW77">
        <v>1</v>
      </c>
      <c r="GX77">
        <f t="shared" si="108"/>
        <v>0</v>
      </c>
      <c r="HA77">
        <v>0</v>
      </c>
      <c r="HB77">
        <v>0</v>
      </c>
      <c r="HC77">
        <f t="shared" si="109"/>
        <v>0</v>
      </c>
      <c r="IK77">
        <v>0</v>
      </c>
    </row>
    <row r="78" spans="1:245">
      <c r="A78">
        <v>17</v>
      </c>
      <c r="B78">
        <v>1</v>
      </c>
      <c r="C78">
        <f>ROW(SmtRes!A51)</f>
        <v>51</v>
      </c>
      <c r="D78">
        <f>ROW(EtalonRes!A51)</f>
        <v>51</v>
      </c>
      <c r="E78" t="s">
        <v>129</v>
      </c>
      <c r="F78" t="s">
        <v>50</v>
      </c>
      <c r="G78" t="s">
        <v>51</v>
      </c>
      <c r="H78" t="s">
        <v>40</v>
      </c>
      <c r="I78">
        <f>ROUND(78*0.12/100,9)</f>
        <v>9.3600000000000003E-2</v>
      </c>
      <c r="J78">
        <v>0</v>
      </c>
      <c r="O78">
        <f t="shared" si="70"/>
        <v>2957.46</v>
      </c>
      <c r="P78">
        <f t="shared" si="71"/>
        <v>23.1</v>
      </c>
      <c r="Q78">
        <f t="shared" si="72"/>
        <v>2406.44</v>
      </c>
      <c r="R78">
        <f t="shared" si="73"/>
        <v>1468.6</v>
      </c>
      <c r="S78">
        <f t="shared" si="74"/>
        <v>527.91999999999996</v>
      </c>
      <c r="T78">
        <f t="shared" si="75"/>
        <v>0</v>
      </c>
      <c r="U78">
        <f t="shared" si="76"/>
        <v>2.02176</v>
      </c>
      <c r="V78">
        <f t="shared" si="77"/>
        <v>0</v>
      </c>
      <c r="W78">
        <f t="shared" si="78"/>
        <v>0</v>
      </c>
      <c r="X78">
        <f t="shared" si="79"/>
        <v>691.58</v>
      </c>
      <c r="Y78">
        <f t="shared" si="80"/>
        <v>285.08</v>
      </c>
      <c r="AA78">
        <v>33985563</v>
      </c>
      <c r="AB78">
        <f t="shared" si="81"/>
        <v>3301.39</v>
      </c>
      <c r="AC78">
        <f t="shared" si="82"/>
        <v>49.49</v>
      </c>
      <c r="AD78">
        <f t="shared" si="83"/>
        <v>3024.67</v>
      </c>
      <c r="AE78">
        <f t="shared" si="84"/>
        <v>632.20000000000005</v>
      </c>
      <c r="AF78">
        <f t="shared" si="85"/>
        <v>227.23</v>
      </c>
      <c r="AG78">
        <f t="shared" si="86"/>
        <v>0</v>
      </c>
      <c r="AH78">
        <f t="shared" si="87"/>
        <v>21.6</v>
      </c>
      <c r="AI78">
        <f t="shared" si="88"/>
        <v>0</v>
      </c>
      <c r="AJ78">
        <f t="shared" si="89"/>
        <v>0</v>
      </c>
      <c r="AK78">
        <v>3301.39</v>
      </c>
      <c r="AL78">
        <v>49.49</v>
      </c>
      <c r="AM78">
        <v>3024.67</v>
      </c>
      <c r="AN78">
        <v>632.20000000000005</v>
      </c>
      <c r="AO78">
        <v>227.23</v>
      </c>
      <c r="AP78">
        <v>0</v>
      </c>
      <c r="AQ78">
        <v>21.6</v>
      </c>
      <c r="AR78">
        <v>0</v>
      </c>
      <c r="AS78">
        <v>0</v>
      </c>
      <c r="AT78">
        <v>131</v>
      </c>
      <c r="AU78">
        <v>54</v>
      </c>
      <c r="AV78">
        <v>1</v>
      </c>
      <c r="AW78">
        <v>1</v>
      </c>
      <c r="AZ78">
        <v>1</v>
      </c>
      <c r="BA78">
        <v>24.82</v>
      </c>
      <c r="BB78">
        <v>8.5</v>
      </c>
      <c r="BC78">
        <v>4.99</v>
      </c>
      <c r="BD78" t="s">
        <v>3</v>
      </c>
      <c r="BE78" t="s">
        <v>3</v>
      </c>
      <c r="BF78" t="s">
        <v>3</v>
      </c>
      <c r="BG78" t="s">
        <v>3</v>
      </c>
      <c r="BH78">
        <v>0</v>
      </c>
      <c r="BI78">
        <v>1</v>
      </c>
      <c r="BJ78" t="s">
        <v>52</v>
      </c>
      <c r="BM78">
        <v>146</v>
      </c>
      <c r="BN78">
        <v>0</v>
      </c>
      <c r="BO78" t="s">
        <v>50</v>
      </c>
      <c r="BP78">
        <v>1</v>
      </c>
      <c r="BQ78">
        <v>30</v>
      </c>
      <c r="BR78">
        <v>0</v>
      </c>
      <c r="BS78">
        <v>24.82</v>
      </c>
      <c r="BT78">
        <v>1</v>
      </c>
      <c r="BU78">
        <v>1</v>
      </c>
      <c r="BV78">
        <v>1</v>
      </c>
      <c r="BW78">
        <v>1</v>
      </c>
      <c r="BX78">
        <v>1</v>
      </c>
      <c r="BY78" t="s">
        <v>3</v>
      </c>
      <c r="BZ78">
        <v>131</v>
      </c>
      <c r="CA78">
        <v>54</v>
      </c>
      <c r="CE78">
        <v>30</v>
      </c>
      <c r="CF78">
        <v>0</v>
      </c>
      <c r="CG78">
        <v>0</v>
      </c>
      <c r="CM78">
        <v>0</v>
      </c>
      <c r="CN78" t="s">
        <v>3</v>
      </c>
      <c r="CO78">
        <v>0</v>
      </c>
      <c r="CP78">
        <f t="shared" si="90"/>
        <v>2957.46</v>
      </c>
      <c r="CQ78">
        <f t="shared" si="91"/>
        <v>246.96</v>
      </c>
      <c r="CR78">
        <f t="shared" si="92"/>
        <v>25709.7</v>
      </c>
      <c r="CS78">
        <f t="shared" si="93"/>
        <v>15691.2</v>
      </c>
      <c r="CT78">
        <f t="shared" si="94"/>
        <v>5639.85</v>
      </c>
      <c r="CU78">
        <f t="shared" si="95"/>
        <v>0</v>
      </c>
      <c r="CV78">
        <f t="shared" si="96"/>
        <v>21.6</v>
      </c>
      <c r="CW78">
        <f t="shared" si="97"/>
        <v>0</v>
      </c>
      <c r="CX78">
        <f t="shared" si="98"/>
        <v>0</v>
      </c>
      <c r="CY78">
        <f t="shared" si="99"/>
        <v>691.5752</v>
      </c>
      <c r="CZ78">
        <f t="shared" si="100"/>
        <v>285.07679999999999</v>
      </c>
      <c r="DC78" t="s">
        <v>3</v>
      </c>
      <c r="DD78" t="s">
        <v>3</v>
      </c>
      <c r="DE78" t="s">
        <v>3</v>
      </c>
      <c r="DF78" t="s">
        <v>3</v>
      </c>
      <c r="DG78" t="s">
        <v>3</v>
      </c>
      <c r="DH78" t="s">
        <v>3</v>
      </c>
      <c r="DI78" t="s">
        <v>3</v>
      </c>
      <c r="DJ78" t="s">
        <v>3</v>
      </c>
      <c r="DK78" t="s">
        <v>3</v>
      </c>
      <c r="DL78" t="s">
        <v>3</v>
      </c>
      <c r="DM78" t="s">
        <v>3</v>
      </c>
      <c r="DN78">
        <v>161</v>
      </c>
      <c r="DO78">
        <v>107</v>
      </c>
      <c r="DP78">
        <v>1</v>
      </c>
      <c r="DQ78">
        <v>1</v>
      </c>
      <c r="DU78">
        <v>1013</v>
      </c>
      <c r="DV78" t="s">
        <v>40</v>
      </c>
      <c r="DW78" t="s">
        <v>40</v>
      </c>
      <c r="DX78">
        <v>1</v>
      </c>
      <c r="EE78">
        <v>33795580</v>
      </c>
      <c r="EF78">
        <v>30</v>
      </c>
      <c r="EG78" t="s">
        <v>20</v>
      </c>
      <c r="EH78">
        <v>0</v>
      </c>
      <c r="EI78" t="s">
        <v>3</v>
      </c>
      <c r="EJ78">
        <v>1</v>
      </c>
      <c r="EK78">
        <v>146</v>
      </c>
      <c r="EL78" t="s">
        <v>42</v>
      </c>
      <c r="EM78" t="s">
        <v>43</v>
      </c>
      <c r="EO78" t="s">
        <v>3</v>
      </c>
      <c r="EQ78">
        <v>131072</v>
      </c>
      <c r="ER78">
        <v>3301.39</v>
      </c>
      <c r="ES78">
        <v>49.49</v>
      </c>
      <c r="ET78">
        <v>3024.67</v>
      </c>
      <c r="EU78">
        <v>632.20000000000005</v>
      </c>
      <c r="EV78">
        <v>227.23</v>
      </c>
      <c r="EW78">
        <v>21.6</v>
      </c>
      <c r="EX78">
        <v>0</v>
      </c>
      <c r="EY78">
        <v>0</v>
      </c>
      <c r="FQ78">
        <v>0</v>
      </c>
      <c r="FR78">
        <f t="shared" si="101"/>
        <v>0</v>
      </c>
      <c r="FS78">
        <v>0</v>
      </c>
      <c r="FX78">
        <v>161</v>
      </c>
      <c r="FY78">
        <v>107</v>
      </c>
      <c r="GA78" t="s">
        <v>3</v>
      </c>
      <c r="GD78">
        <v>0</v>
      </c>
      <c r="GF78">
        <v>-668565501</v>
      </c>
      <c r="GG78">
        <v>2</v>
      </c>
      <c r="GH78">
        <v>1</v>
      </c>
      <c r="GI78">
        <v>2</v>
      </c>
      <c r="GJ78">
        <v>0</v>
      </c>
      <c r="GK78">
        <f>ROUND(R78*(R12)/100,2)</f>
        <v>2305.6999999999998</v>
      </c>
      <c r="GL78">
        <f t="shared" si="102"/>
        <v>0</v>
      </c>
      <c r="GM78">
        <f t="shared" si="103"/>
        <v>6239.82</v>
      </c>
      <c r="GN78">
        <f t="shared" si="104"/>
        <v>6239.82</v>
      </c>
      <c r="GO78">
        <f t="shared" si="105"/>
        <v>0</v>
      </c>
      <c r="GP78">
        <f t="shared" si="106"/>
        <v>0</v>
      </c>
      <c r="GR78">
        <v>0</v>
      </c>
      <c r="GS78">
        <v>0</v>
      </c>
      <c r="GT78">
        <v>0</v>
      </c>
      <c r="GU78" t="s">
        <v>3</v>
      </c>
      <c r="GV78">
        <f t="shared" si="107"/>
        <v>0</v>
      </c>
      <c r="GW78">
        <v>1</v>
      </c>
      <c r="GX78">
        <f t="shared" si="108"/>
        <v>0</v>
      </c>
      <c r="HA78">
        <v>0</v>
      </c>
      <c r="HB78">
        <v>0</v>
      </c>
      <c r="HC78">
        <f t="shared" si="109"/>
        <v>0</v>
      </c>
      <c r="IK78">
        <v>0</v>
      </c>
    </row>
    <row r="79" spans="1:245">
      <c r="A79">
        <v>18</v>
      </c>
      <c r="B79">
        <v>1</v>
      </c>
      <c r="C79">
        <v>51</v>
      </c>
      <c r="E79" t="s">
        <v>130</v>
      </c>
      <c r="F79" t="s">
        <v>54</v>
      </c>
      <c r="G79" t="s">
        <v>55</v>
      </c>
      <c r="H79" t="s">
        <v>47</v>
      </c>
      <c r="I79">
        <f>I78*J79</f>
        <v>11.7936</v>
      </c>
      <c r="J79">
        <v>125.99999999999999</v>
      </c>
      <c r="O79">
        <f t="shared" si="70"/>
        <v>21407.59</v>
      </c>
      <c r="P79">
        <f t="shared" si="71"/>
        <v>21407.59</v>
      </c>
      <c r="Q79">
        <f t="shared" si="72"/>
        <v>0</v>
      </c>
      <c r="R79">
        <f t="shared" si="73"/>
        <v>0</v>
      </c>
      <c r="S79">
        <f t="shared" si="74"/>
        <v>0</v>
      </c>
      <c r="T79">
        <f t="shared" si="75"/>
        <v>0</v>
      </c>
      <c r="U79">
        <f t="shared" si="76"/>
        <v>0</v>
      </c>
      <c r="V79">
        <f t="shared" si="77"/>
        <v>0</v>
      </c>
      <c r="W79">
        <f t="shared" si="78"/>
        <v>0</v>
      </c>
      <c r="X79">
        <f t="shared" si="79"/>
        <v>0</v>
      </c>
      <c r="Y79">
        <f t="shared" si="80"/>
        <v>0</v>
      </c>
      <c r="AA79">
        <v>33985563</v>
      </c>
      <c r="AB79">
        <f t="shared" si="81"/>
        <v>173.37</v>
      </c>
      <c r="AC79">
        <f t="shared" si="82"/>
        <v>173.37</v>
      </c>
      <c r="AD79">
        <f t="shared" si="83"/>
        <v>0</v>
      </c>
      <c r="AE79">
        <f t="shared" si="84"/>
        <v>0</v>
      </c>
      <c r="AF79">
        <f t="shared" si="85"/>
        <v>0</v>
      </c>
      <c r="AG79">
        <f t="shared" si="86"/>
        <v>0</v>
      </c>
      <c r="AH79">
        <f t="shared" si="87"/>
        <v>0</v>
      </c>
      <c r="AI79">
        <f t="shared" si="88"/>
        <v>0</v>
      </c>
      <c r="AJ79">
        <f t="shared" si="89"/>
        <v>0</v>
      </c>
      <c r="AK79">
        <v>173.37</v>
      </c>
      <c r="AL79">
        <v>173.37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10.47</v>
      </c>
      <c r="BD79" t="s">
        <v>3</v>
      </c>
      <c r="BE79" t="s">
        <v>3</v>
      </c>
      <c r="BF79" t="s">
        <v>3</v>
      </c>
      <c r="BG79" t="s">
        <v>3</v>
      </c>
      <c r="BH79">
        <v>3</v>
      </c>
      <c r="BI79">
        <v>1</v>
      </c>
      <c r="BJ79" t="s">
        <v>56</v>
      </c>
      <c r="BM79">
        <v>146</v>
      </c>
      <c r="BN79">
        <v>0</v>
      </c>
      <c r="BO79" t="s">
        <v>54</v>
      </c>
      <c r="BP79">
        <v>1</v>
      </c>
      <c r="BQ79">
        <v>30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0</v>
      </c>
      <c r="CA79">
        <v>0</v>
      </c>
      <c r="CE79">
        <v>30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 t="shared" si="90"/>
        <v>21407.59</v>
      </c>
      <c r="CQ79">
        <f t="shared" si="91"/>
        <v>1815.18</v>
      </c>
      <c r="CR79">
        <f t="shared" si="92"/>
        <v>0</v>
      </c>
      <c r="CS79">
        <f t="shared" si="93"/>
        <v>0</v>
      </c>
      <c r="CT79">
        <f t="shared" si="94"/>
        <v>0</v>
      </c>
      <c r="CU79">
        <f t="shared" si="95"/>
        <v>0</v>
      </c>
      <c r="CV79">
        <f t="shared" si="96"/>
        <v>0</v>
      </c>
      <c r="CW79">
        <f t="shared" si="97"/>
        <v>0</v>
      </c>
      <c r="CX79">
        <f t="shared" si="98"/>
        <v>0</v>
      </c>
      <c r="CY79">
        <f t="shared" si="99"/>
        <v>0</v>
      </c>
      <c r="CZ79">
        <f t="shared" si="100"/>
        <v>0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161</v>
      </c>
      <c r="DO79">
        <v>107</v>
      </c>
      <c r="DP79">
        <v>1</v>
      </c>
      <c r="DQ79">
        <v>1</v>
      </c>
      <c r="DU79">
        <v>1007</v>
      </c>
      <c r="DV79" t="s">
        <v>47</v>
      </c>
      <c r="DW79" t="s">
        <v>47</v>
      </c>
      <c r="DX79">
        <v>1</v>
      </c>
      <c r="EE79">
        <v>33795580</v>
      </c>
      <c r="EF79">
        <v>30</v>
      </c>
      <c r="EG79" t="s">
        <v>20</v>
      </c>
      <c r="EH79">
        <v>0</v>
      </c>
      <c r="EI79" t="s">
        <v>3</v>
      </c>
      <c r="EJ79">
        <v>1</v>
      </c>
      <c r="EK79">
        <v>146</v>
      </c>
      <c r="EL79" t="s">
        <v>42</v>
      </c>
      <c r="EM79" t="s">
        <v>43</v>
      </c>
      <c r="EO79" t="s">
        <v>3</v>
      </c>
      <c r="EQ79">
        <v>0</v>
      </c>
      <c r="ER79">
        <v>173.37</v>
      </c>
      <c r="ES79">
        <v>173.37</v>
      </c>
      <c r="ET79">
        <v>0</v>
      </c>
      <c r="EU79">
        <v>0</v>
      </c>
      <c r="EV79">
        <v>0</v>
      </c>
      <c r="EW79">
        <v>0</v>
      </c>
      <c r="EX79">
        <v>0</v>
      </c>
      <c r="FQ79">
        <v>0</v>
      </c>
      <c r="FR79">
        <f t="shared" si="101"/>
        <v>0</v>
      </c>
      <c r="FS79">
        <v>0</v>
      </c>
      <c r="FX79">
        <v>161</v>
      </c>
      <c r="FY79">
        <v>107</v>
      </c>
      <c r="GA79" t="s">
        <v>3</v>
      </c>
      <c r="GD79">
        <v>0</v>
      </c>
      <c r="GF79">
        <v>-820942871</v>
      </c>
      <c r="GG79">
        <v>2</v>
      </c>
      <c r="GH79">
        <v>1</v>
      </c>
      <c r="GI79">
        <v>2</v>
      </c>
      <c r="GJ79">
        <v>0</v>
      </c>
      <c r="GK79">
        <f>ROUND(R79*(R12)/100,2)</f>
        <v>0</v>
      </c>
      <c r="GL79">
        <f t="shared" si="102"/>
        <v>0</v>
      </c>
      <c r="GM79">
        <f t="shared" si="103"/>
        <v>21407.59</v>
      </c>
      <c r="GN79">
        <f t="shared" si="104"/>
        <v>21407.59</v>
      </c>
      <c r="GO79">
        <f t="shared" si="105"/>
        <v>0</v>
      </c>
      <c r="GP79">
        <f t="shared" si="106"/>
        <v>0</v>
      </c>
      <c r="GR79">
        <v>0</v>
      </c>
      <c r="GS79">
        <v>0</v>
      </c>
      <c r="GT79">
        <v>0</v>
      </c>
      <c r="GU79" t="s">
        <v>3</v>
      </c>
      <c r="GV79">
        <f t="shared" si="107"/>
        <v>0</v>
      </c>
      <c r="GW79">
        <v>1</v>
      </c>
      <c r="GX79">
        <f t="shared" si="108"/>
        <v>0</v>
      </c>
      <c r="HA79">
        <v>0</v>
      </c>
      <c r="HB79">
        <v>0</v>
      </c>
      <c r="HC79">
        <f t="shared" si="109"/>
        <v>0</v>
      </c>
      <c r="IK79">
        <v>0</v>
      </c>
    </row>
    <row r="80" spans="1:245">
      <c r="A80">
        <v>17</v>
      </c>
      <c r="B80">
        <v>1</v>
      </c>
      <c r="C80">
        <f>ROW(SmtRes!A61)</f>
        <v>61</v>
      </c>
      <c r="D80">
        <f>ROW(EtalonRes!A61)</f>
        <v>61</v>
      </c>
      <c r="E80" t="s">
        <v>131</v>
      </c>
      <c r="F80" t="s">
        <v>132</v>
      </c>
      <c r="G80" t="s">
        <v>133</v>
      </c>
      <c r="H80" t="s">
        <v>134</v>
      </c>
      <c r="I80">
        <f>ROUND(78/100,4)</f>
        <v>0.78</v>
      </c>
      <c r="J80">
        <v>0</v>
      </c>
      <c r="O80">
        <f t="shared" si="70"/>
        <v>26852.57</v>
      </c>
      <c r="P80">
        <f t="shared" si="71"/>
        <v>90.47</v>
      </c>
      <c r="Q80">
        <f t="shared" si="72"/>
        <v>1725.17</v>
      </c>
      <c r="R80">
        <f t="shared" si="73"/>
        <v>520.48</v>
      </c>
      <c r="S80">
        <f t="shared" si="74"/>
        <v>25036.93</v>
      </c>
      <c r="T80">
        <f t="shared" si="75"/>
        <v>0</v>
      </c>
      <c r="U80">
        <f t="shared" si="76"/>
        <v>90.940200000000004</v>
      </c>
      <c r="V80">
        <f t="shared" si="77"/>
        <v>0</v>
      </c>
      <c r="W80">
        <f t="shared" si="78"/>
        <v>0</v>
      </c>
      <c r="X80">
        <f t="shared" si="79"/>
        <v>26539.15</v>
      </c>
      <c r="Y80">
        <f t="shared" si="80"/>
        <v>10265.14</v>
      </c>
      <c r="AA80">
        <v>33985563</v>
      </c>
      <c r="AB80">
        <f t="shared" si="81"/>
        <v>1590.73</v>
      </c>
      <c r="AC80">
        <f t="shared" si="82"/>
        <v>22.05</v>
      </c>
      <c r="AD80">
        <f t="shared" si="83"/>
        <v>275.43</v>
      </c>
      <c r="AE80">
        <f t="shared" si="84"/>
        <v>26.88</v>
      </c>
      <c r="AF80">
        <f t="shared" si="85"/>
        <v>1293.25</v>
      </c>
      <c r="AG80">
        <f t="shared" si="86"/>
        <v>0</v>
      </c>
      <c r="AH80">
        <f t="shared" si="87"/>
        <v>116.59</v>
      </c>
      <c r="AI80">
        <f t="shared" si="88"/>
        <v>0</v>
      </c>
      <c r="AJ80">
        <f t="shared" si="89"/>
        <v>0</v>
      </c>
      <c r="AK80">
        <v>1590.73</v>
      </c>
      <c r="AL80">
        <v>22.05</v>
      </c>
      <c r="AM80">
        <v>275.43</v>
      </c>
      <c r="AN80">
        <v>26.88</v>
      </c>
      <c r="AO80">
        <v>1293.25</v>
      </c>
      <c r="AP80">
        <v>0</v>
      </c>
      <c r="AQ80">
        <v>116.59</v>
      </c>
      <c r="AR80">
        <v>0</v>
      </c>
      <c r="AS80">
        <v>0</v>
      </c>
      <c r="AT80">
        <v>106</v>
      </c>
      <c r="AU80">
        <v>41</v>
      </c>
      <c r="AV80">
        <v>1</v>
      </c>
      <c r="AW80">
        <v>1</v>
      </c>
      <c r="AZ80">
        <v>1</v>
      </c>
      <c r="BA80">
        <v>24.82</v>
      </c>
      <c r="BB80">
        <v>8.0299999999999994</v>
      </c>
      <c r="BC80">
        <v>5.26</v>
      </c>
      <c r="BD80" t="s">
        <v>3</v>
      </c>
      <c r="BE80" t="s">
        <v>3</v>
      </c>
      <c r="BF80" t="s">
        <v>3</v>
      </c>
      <c r="BG80" t="s">
        <v>3</v>
      </c>
      <c r="BH80">
        <v>0</v>
      </c>
      <c r="BI80">
        <v>1</v>
      </c>
      <c r="BJ80" t="s">
        <v>135</v>
      </c>
      <c r="BM80">
        <v>305</v>
      </c>
      <c r="BN80">
        <v>0</v>
      </c>
      <c r="BO80" t="s">
        <v>132</v>
      </c>
      <c r="BP80">
        <v>1</v>
      </c>
      <c r="BQ80">
        <v>30</v>
      </c>
      <c r="BR80">
        <v>0</v>
      </c>
      <c r="BS80">
        <v>24.82</v>
      </c>
      <c r="BT80">
        <v>1</v>
      </c>
      <c r="BU80">
        <v>1</v>
      </c>
      <c r="BV80">
        <v>1</v>
      </c>
      <c r="BW80">
        <v>1</v>
      </c>
      <c r="BX80">
        <v>1</v>
      </c>
      <c r="BY80" t="s">
        <v>3</v>
      </c>
      <c r="BZ80">
        <v>106</v>
      </c>
      <c r="CA80">
        <v>41</v>
      </c>
      <c r="CE80">
        <v>30</v>
      </c>
      <c r="CF80">
        <v>0</v>
      </c>
      <c r="CG80">
        <v>0</v>
      </c>
      <c r="CM80">
        <v>0</v>
      </c>
      <c r="CN80" t="s">
        <v>3</v>
      </c>
      <c r="CO80">
        <v>0</v>
      </c>
      <c r="CP80">
        <f t="shared" si="90"/>
        <v>26852.57</v>
      </c>
      <c r="CQ80">
        <f t="shared" si="91"/>
        <v>115.98</v>
      </c>
      <c r="CR80">
        <f t="shared" si="92"/>
        <v>2211.6999999999998</v>
      </c>
      <c r="CS80">
        <f t="shared" si="93"/>
        <v>667.16</v>
      </c>
      <c r="CT80">
        <f t="shared" si="94"/>
        <v>32098.47</v>
      </c>
      <c r="CU80">
        <f t="shared" si="95"/>
        <v>0</v>
      </c>
      <c r="CV80">
        <f t="shared" si="96"/>
        <v>116.59</v>
      </c>
      <c r="CW80">
        <f t="shared" si="97"/>
        <v>0</v>
      </c>
      <c r="CX80">
        <f t="shared" si="98"/>
        <v>0</v>
      </c>
      <c r="CY80">
        <f t="shared" si="99"/>
        <v>26539.145800000002</v>
      </c>
      <c r="CZ80">
        <f t="shared" si="100"/>
        <v>10265.141299999999</v>
      </c>
      <c r="DC80" t="s">
        <v>3</v>
      </c>
      <c r="DD80" t="s">
        <v>3</v>
      </c>
      <c r="DE80" t="s">
        <v>3</v>
      </c>
      <c r="DF80" t="s">
        <v>3</v>
      </c>
      <c r="DG80" t="s">
        <v>3</v>
      </c>
      <c r="DH80" t="s">
        <v>3</v>
      </c>
      <c r="DI80" t="s">
        <v>3</v>
      </c>
      <c r="DJ80" t="s">
        <v>3</v>
      </c>
      <c r="DK80" t="s">
        <v>3</v>
      </c>
      <c r="DL80" t="s">
        <v>3</v>
      </c>
      <c r="DM80" t="s">
        <v>3</v>
      </c>
      <c r="DN80">
        <v>134</v>
      </c>
      <c r="DO80">
        <v>83</v>
      </c>
      <c r="DP80">
        <v>1</v>
      </c>
      <c r="DQ80">
        <v>1</v>
      </c>
      <c r="DU80">
        <v>1005</v>
      </c>
      <c r="DV80" t="s">
        <v>134</v>
      </c>
      <c r="DW80" t="s">
        <v>134</v>
      </c>
      <c r="DX80">
        <v>100</v>
      </c>
      <c r="EE80">
        <v>33795739</v>
      </c>
      <c r="EF80">
        <v>30</v>
      </c>
      <c r="EG80" t="s">
        <v>20</v>
      </c>
      <c r="EH80">
        <v>0</v>
      </c>
      <c r="EI80" t="s">
        <v>3</v>
      </c>
      <c r="EJ80">
        <v>1</v>
      </c>
      <c r="EK80">
        <v>305</v>
      </c>
      <c r="EL80" t="s">
        <v>136</v>
      </c>
      <c r="EM80" t="s">
        <v>137</v>
      </c>
      <c r="EO80" t="s">
        <v>3</v>
      </c>
      <c r="EQ80">
        <v>131072</v>
      </c>
      <c r="ER80">
        <v>1590.73</v>
      </c>
      <c r="ES80">
        <v>22.05</v>
      </c>
      <c r="ET80">
        <v>275.43</v>
      </c>
      <c r="EU80">
        <v>26.88</v>
      </c>
      <c r="EV80">
        <v>1293.25</v>
      </c>
      <c r="EW80">
        <v>116.59</v>
      </c>
      <c r="EX80">
        <v>0</v>
      </c>
      <c r="EY80">
        <v>0</v>
      </c>
      <c r="FQ80">
        <v>0</v>
      </c>
      <c r="FR80">
        <f t="shared" si="101"/>
        <v>0</v>
      </c>
      <c r="FS80">
        <v>0</v>
      </c>
      <c r="FX80">
        <v>134</v>
      </c>
      <c r="FY80">
        <v>83</v>
      </c>
      <c r="GA80" t="s">
        <v>3</v>
      </c>
      <c r="GD80">
        <v>0</v>
      </c>
      <c r="GF80">
        <v>781796329</v>
      </c>
      <c r="GG80">
        <v>2</v>
      </c>
      <c r="GH80">
        <v>1</v>
      </c>
      <c r="GI80">
        <v>2</v>
      </c>
      <c r="GJ80">
        <v>0</v>
      </c>
      <c r="GK80">
        <f>ROUND(R80*(R12)/100,2)</f>
        <v>817.15</v>
      </c>
      <c r="GL80">
        <f t="shared" si="102"/>
        <v>0</v>
      </c>
      <c r="GM80">
        <f t="shared" si="103"/>
        <v>64474.01</v>
      </c>
      <c r="GN80">
        <f t="shared" si="104"/>
        <v>64474.01</v>
      </c>
      <c r="GO80">
        <f t="shared" si="105"/>
        <v>0</v>
      </c>
      <c r="GP80">
        <f t="shared" si="106"/>
        <v>0</v>
      </c>
      <c r="GR80">
        <v>0</v>
      </c>
      <c r="GS80">
        <v>0</v>
      </c>
      <c r="GT80">
        <v>0</v>
      </c>
      <c r="GU80" t="s">
        <v>3</v>
      </c>
      <c r="GV80">
        <f t="shared" si="107"/>
        <v>0</v>
      </c>
      <c r="GW80">
        <v>1</v>
      </c>
      <c r="GX80">
        <f t="shared" si="108"/>
        <v>0</v>
      </c>
      <c r="HA80">
        <v>0</v>
      </c>
      <c r="HB80">
        <v>0</v>
      </c>
      <c r="HC80">
        <f t="shared" si="109"/>
        <v>0</v>
      </c>
      <c r="IK80">
        <v>0</v>
      </c>
    </row>
    <row r="81" spans="1:245">
      <c r="A81">
        <v>18</v>
      </c>
      <c r="B81">
        <v>1</v>
      </c>
      <c r="C81">
        <v>61</v>
      </c>
      <c r="E81" t="s">
        <v>138</v>
      </c>
      <c r="F81" t="s">
        <v>139</v>
      </c>
      <c r="G81" t="s">
        <v>140</v>
      </c>
      <c r="H81" t="s">
        <v>141</v>
      </c>
      <c r="I81">
        <f>I80*J81</f>
        <v>1.17</v>
      </c>
      <c r="J81">
        <v>1.4999999999999998</v>
      </c>
      <c r="O81">
        <f t="shared" si="70"/>
        <v>927.17</v>
      </c>
      <c r="P81">
        <f t="shared" si="71"/>
        <v>927.17</v>
      </c>
      <c r="Q81">
        <f t="shared" si="72"/>
        <v>0</v>
      </c>
      <c r="R81">
        <f t="shared" si="73"/>
        <v>0</v>
      </c>
      <c r="S81">
        <f t="shared" si="74"/>
        <v>0</v>
      </c>
      <c r="T81">
        <f t="shared" si="75"/>
        <v>0</v>
      </c>
      <c r="U81">
        <f t="shared" si="76"/>
        <v>0</v>
      </c>
      <c r="V81">
        <f t="shared" si="77"/>
        <v>0</v>
      </c>
      <c r="W81">
        <f t="shared" si="78"/>
        <v>0</v>
      </c>
      <c r="X81">
        <f t="shared" si="79"/>
        <v>0</v>
      </c>
      <c r="Y81">
        <f t="shared" si="80"/>
        <v>0</v>
      </c>
      <c r="AA81">
        <v>33985563</v>
      </c>
      <c r="AB81">
        <f t="shared" si="81"/>
        <v>437.82</v>
      </c>
      <c r="AC81">
        <f t="shared" si="82"/>
        <v>437.82</v>
      </c>
      <c r="AD81">
        <f t="shared" si="83"/>
        <v>0</v>
      </c>
      <c r="AE81">
        <f t="shared" si="84"/>
        <v>0</v>
      </c>
      <c r="AF81">
        <f t="shared" si="85"/>
        <v>0</v>
      </c>
      <c r="AG81">
        <f t="shared" si="86"/>
        <v>0</v>
      </c>
      <c r="AH81">
        <f t="shared" si="87"/>
        <v>0</v>
      </c>
      <c r="AI81">
        <f t="shared" si="88"/>
        <v>0</v>
      </c>
      <c r="AJ81">
        <f t="shared" si="89"/>
        <v>0</v>
      </c>
      <c r="AK81">
        <v>437.82</v>
      </c>
      <c r="AL81">
        <v>437.82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v>1.81</v>
      </c>
      <c r="BD81" t="s">
        <v>3</v>
      </c>
      <c r="BE81" t="s">
        <v>3</v>
      </c>
      <c r="BF81" t="s">
        <v>3</v>
      </c>
      <c r="BG81" t="s">
        <v>3</v>
      </c>
      <c r="BH81">
        <v>3</v>
      </c>
      <c r="BI81">
        <v>1</v>
      </c>
      <c r="BJ81" t="s">
        <v>142</v>
      </c>
      <c r="BM81">
        <v>305</v>
      </c>
      <c r="BN81">
        <v>0</v>
      </c>
      <c r="BO81" t="s">
        <v>139</v>
      </c>
      <c r="BP81">
        <v>1</v>
      </c>
      <c r="BQ81">
        <v>30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0</v>
      </c>
      <c r="CA81">
        <v>0</v>
      </c>
      <c r="CE81">
        <v>30</v>
      </c>
      <c r="CF81">
        <v>0</v>
      </c>
      <c r="CG81">
        <v>0</v>
      </c>
      <c r="CM81">
        <v>0</v>
      </c>
      <c r="CN81" t="s">
        <v>3</v>
      </c>
      <c r="CO81">
        <v>0</v>
      </c>
      <c r="CP81">
        <f t="shared" si="90"/>
        <v>927.17</v>
      </c>
      <c r="CQ81">
        <f t="shared" si="91"/>
        <v>792.45</v>
      </c>
      <c r="CR81">
        <f t="shared" si="92"/>
        <v>0</v>
      </c>
      <c r="CS81">
        <f t="shared" si="93"/>
        <v>0</v>
      </c>
      <c r="CT81">
        <f t="shared" si="94"/>
        <v>0</v>
      </c>
      <c r="CU81">
        <f t="shared" si="95"/>
        <v>0</v>
      </c>
      <c r="CV81">
        <f t="shared" si="96"/>
        <v>0</v>
      </c>
      <c r="CW81">
        <f t="shared" si="97"/>
        <v>0</v>
      </c>
      <c r="CX81">
        <f t="shared" si="98"/>
        <v>0</v>
      </c>
      <c r="CY81">
        <f t="shared" si="99"/>
        <v>0</v>
      </c>
      <c r="CZ81">
        <f t="shared" si="100"/>
        <v>0</v>
      </c>
      <c r="DC81" t="s">
        <v>3</v>
      </c>
      <c r="DD81" t="s">
        <v>3</v>
      </c>
      <c r="DE81" t="s">
        <v>3</v>
      </c>
      <c r="DF81" t="s">
        <v>3</v>
      </c>
      <c r="DG81" t="s">
        <v>3</v>
      </c>
      <c r="DH81" t="s">
        <v>3</v>
      </c>
      <c r="DI81" t="s">
        <v>3</v>
      </c>
      <c r="DJ81" t="s">
        <v>3</v>
      </c>
      <c r="DK81" t="s">
        <v>3</v>
      </c>
      <c r="DL81" t="s">
        <v>3</v>
      </c>
      <c r="DM81" t="s">
        <v>3</v>
      </c>
      <c r="DN81">
        <v>134</v>
      </c>
      <c r="DO81">
        <v>83</v>
      </c>
      <c r="DP81">
        <v>1</v>
      </c>
      <c r="DQ81">
        <v>1</v>
      </c>
      <c r="DU81">
        <v>1010</v>
      </c>
      <c r="DV81" t="s">
        <v>141</v>
      </c>
      <c r="DW81" t="s">
        <v>141</v>
      </c>
      <c r="DX81">
        <v>1</v>
      </c>
      <c r="EE81">
        <v>33795739</v>
      </c>
      <c r="EF81">
        <v>30</v>
      </c>
      <c r="EG81" t="s">
        <v>20</v>
      </c>
      <c r="EH81">
        <v>0</v>
      </c>
      <c r="EI81" t="s">
        <v>3</v>
      </c>
      <c r="EJ81">
        <v>1</v>
      </c>
      <c r="EK81">
        <v>305</v>
      </c>
      <c r="EL81" t="s">
        <v>136</v>
      </c>
      <c r="EM81" t="s">
        <v>137</v>
      </c>
      <c r="EO81" t="s">
        <v>3</v>
      </c>
      <c r="EQ81">
        <v>0</v>
      </c>
      <c r="ER81">
        <v>437.82</v>
      </c>
      <c r="ES81">
        <v>437.82</v>
      </c>
      <c r="ET81">
        <v>0</v>
      </c>
      <c r="EU81">
        <v>0</v>
      </c>
      <c r="EV81">
        <v>0</v>
      </c>
      <c r="EW81">
        <v>0</v>
      </c>
      <c r="EX81">
        <v>0</v>
      </c>
      <c r="FQ81">
        <v>0</v>
      </c>
      <c r="FR81">
        <f t="shared" si="101"/>
        <v>0</v>
      </c>
      <c r="FS81">
        <v>0</v>
      </c>
      <c r="FX81">
        <v>134</v>
      </c>
      <c r="FY81">
        <v>83</v>
      </c>
      <c r="GA81" t="s">
        <v>3</v>
      </c>
      <c r="GD81">
        <v>0</v>
      </c>
      <c r="GF81">
        <v>-1816805806</v>
      </c>
      <c r="GG81">
        <v>2</v>
      </c>
      <c r="GH81">
        <v>1</v>
      </c>
      <c r="GI81">
        <v>2</v>
      </c>
      <c r="GJ81">
        <v>0</v>
      </c>
      <c r="GK81">
        <f>ROUND(R81*(R12)/100,2)</f>
        <v>0</v>
      </c>
      <c r="GL81">
        <f t="shared" si="102"/>
        <v>0</v>
      </c>
      <c r="GM81">
        <f t="shared" si="103"/>
        <v>927.17</v>
      </c>
      <c r="GN81">
        <f t="shared" si="104"/>
        <v>927.17</v>
      </c>
      <c r="GO81">
        <f t="shared" si="105"/>
        <v>0</v>
      </c>
      <c r="GP81">
        <f t="shared" si="106"/>
        <v>0</v>
      </c>
      <c r="GR81">
        <v>0</v>
      </c>
      <c r="GS81">
        <v>0</v>
      </c>
      <c r="GT81">
        <v>0</v>
      </c>
      <c r="GU81" t="s">
        <v>3</v>
      </c>
      <c r="GV81">
        <f t="shared" si="107"/>
        <v>0</v>
      </c>
      <c r="GW81">
        <v>1</v>
      </c>
      <c r="GX81">
        <f t="shared" si="108"/>
        <v>0</v>
      </c>
      <c r="HA81">
        <v>0</v>
      </c>
      <c r="HB81">
        <v>0</v>
      </c>
      <c r="HC81">
        <f t="shared" si="109"/>
        <v>0</v>
      </c>
      <c r="IK81">
        <v>0</v>
      </c>
    </row>
    <row r="82" spans="1:245">
      <c r="A82">
        <v>18</v>
      </c>
      <c r="B82">
        <v>1</v>
      </c>
      <c r="C82">
        <v>60</v>
      </c>
      <c r="E82" t="s">
        <v>143</v>
      </c>
      <c r="F82" t="s">
        <v>144</v>
      </c>
      <c r="G82" t="s">
        <v>145</v>
      </c>
      <c r="H82" t="s">
        <v>146</v>
      </c>
      <c r="I82">
        <f>I80*J82</f>
        <v>79.210560000000001</v>
      </c>
      <c r="J82">
        <v>101.55199999999999</v>
      </c>
      <c r="O82">
        <f t="shared" si="70"/>
        <v>66933.210000000006</v>
      </c>
      <c r="P82">
        <f t="shared" si="71"/>
        <v>66933.210000000006</v>
      </c>
      <c r="Q82">
        <f t="shared" si="72"/>
        <v>0</v>
      </c>
      <c r="R82">
        <f t="shared" si="73"/>
        <v>0</v>
      </c>
      <c r="S82">
        <f t="shared" si="74"/>
        <v>0</v>
      </c>
      <c r="T82">
        <f t="shared" si="75"/>
        <v>0</v>
      </c>
      <c r="U82">
        <f t="shared" si="76"/>
        <v>0</v>
      </c>
      <c r="V82">
        <f t="shared" si="77"/>
        <v>0</v>
      </c>
      <c r="W82">
        <f t="shared" si="78"/>
        <v>0</v>
      </c>
      <c r="X82">
        <f t="shared" si="79"/>
        <v>0</v>
      </c>
      <c r="Y82">
        <f t="shared" si="80"/>
        <v>0</v>
      </c>
      <c r="AA82">
        <v>33985563</v>
      </c>
      <c r="AB82">
        <f t="shared" si="81"/>
        <v>157.65</v>
      </c>
      <c r="AC82">
        <f t="shared" si="82"/>
        <v>157.65</v>
      </c>
      <c r="AD82">
        <f t="shared" si="83"/>
        <v>0</v>
      </c>
      <c r="AE82">
        <f t="shared" si="84"/>
        <v>0</v>
      </c>
      <c r="AF82">
        <f t="shared" si="85"/>
        <v>0</v>
      </c>
      <c r="AG82">
        <f t="shared" si="86"/>
        <v>0</v>
      </c>
      <c r="AH82">
        <f t="shared" si="87"/>
        <v>0</v>
      </c>
      <c r="AI82">
        <f t="shared" si="88"/>
        <v>0</v>
      </c>
      <c r="AJ82">
        <f t="shared" si="89"/>
        <v>0</v>
      </c>
      <c r="AK82">
        <v>157.65</v>
      </c>
      <c r="AL82">
        <v>157.65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1</v>
      </c>
      <c r="AW82">
        <v>1</v>
      </c>
      <c r="AZ82">
        <v>1</v>
      </c>
      <c r="BA82">
        <v>1</v>
      </c>
      <c r="BB82">
        <v>1</v>
      </c>
      <c r="BC82">
        <v>5.36</v>
      </c>
      <c r="BD82" t="s">
        <v>3</v>
      </c>
      <c r="BE82" t="s">
        <v>3</v>
      </c>
      <c r="BF82" t="s">
        <v>3</v>
      </c>
      <c r="BG82" t="s">
        <v>3</v>
      </c>
      <c r="BH82">
        <v>3</v>
      </c>
      <c r="BI82">
        <v>1</v>
      </c>
      <c r="BJ82" t="s">
        <v>147</v>
      </c>
      <c r="BM82">
        <v>305</v>
      </c>
      <c r="BN82">
        <v>0</v>
      </c>
      <c r="BO82" t="s">
        <v>144</v>
      </c>
      <c r="BP82">
        <v>1</v>
      </c>
      <c r="BQ82">
        <v>30</v>
      </c>
      <c r="BR82">
        <v>0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Y82" t="s">
        <v>3</v>
      </c>
      <c r="BZ82">
        <v>0</v>
      </c>
      <c r="CA82">
        <v>0</v>
      </c>
      <c r="CE82">
        <v>30</v>
      </c>
      <c r="CF82">
        <v>0</v>
      </c>
      <c r="CG82">
        <v>0</v>
      </c>
      <c r="CM82">
        <v>0</v>
      </c>
      <c r="CN82" t="s">
        <v>3</v>
      </c>
      <c r="CO82">
        <v>0</v>
      </c>
      <c r="CP82">
        <f t="shared" si="90"/>
        <v>66933.210000000006</v>
      </c>
      <c r="CQ82">
        <f t="shared" si="91"/>
        <v>845</v>
      </c>
      <c r="CR82">
        <f t="shared" si="92"/>
        <v>0</v>
      </c>
      <c r="CS82">
        <f t="shared" si="93"/>
        <v>0</v>
      </c>
      <c r="CT82">
        <f t="shared" si="94"/>
        <v>0</v>
      </c>
      <c r="CU82">
        <f t="shared" si="95"/>
        <v>0</v>
      </c>
      <c r="CV82">
        <f t="shared" si="96"/>
        <v>0</v>
      </c>
      <c r="CW82">
        <f t="shared" si="97"/>
        <v>0</v>
      </c>
      <c r="CX82">
        <f t="shared" si="98"/>
        <v>0</v>
      </c>
      <c r="CY82">
        <f t="shared" si="99"/>
        <v>0</v>
      </c>
      <c r="CZ82">
        <f t="shared" si="100"/>
        <v>0</v>
      </c>
      <c r="DC82" t="s">
        <v>3</v>
      </c>
      <c r="DD82" t="s">
        <v>3</v>
      </c>
      <c r="DE82" t="s">
        <v>3</v>
      </c>
      <c r="DF82" t="s">
        <v>3</v>
      </c>
      <c r="DG82" t="s">
        <v>3</v>
      </c>
      <c r="DH82" t="s">
        <v>3</v>
      </c>
      <c r="DI82" t="s">
        <v>3</v>
      </c>
      <c r="DJ82" t="s">
        <v>3</v>
      </c>
      <c r="DK82" t="s">
        <v>3</v>
      </c>
      <c r="DL82" t="s">
        <v>3</v>
      </c>
      <c r="DM82" t="s">
        <v>3</v>
      </c>
      <c r="DN82">
        <v>134</v>
      </c>
      <c r="DO82">
        <v>83</v>
      </c>
      <c r="DP82">
        <v>1</v>
      </c>
      <c r="DQ82">
        <v>1</v>
      </c>
      <c r="DU82">
        <v>1005</v>
      </c>
      <c r="DV82" t="s">
        <v>146</v>
      </c>
      <c r="DW82" t="s">
        <v>146</v>
      </c>
      <c r="DX82">
        <v>1</v>
      </c>
      <c r="EE82">
        <v>33795739</v>
      </c>
      <c r="EF82">
        <v>30</v>
      </c>
      <c r="EG82" t="s">
        <v>20</v>
      </c>
      <c r="EH82">
        <v>0</v>
      </c>
      <c r="EI82" t="s">
        <v>3</v>
      </c>
      <c r="EJ82">
        <v>1</v>
      </c>
      <c r="EK82">
        <v>305</v>
      </c>
      <c r="EL82" t="s">
        <v>136</v>
      </c>
      <c r="EM82" t="s">
        <v>137</v>
      </c>
      <c r="EO82" t="s">
        <v>3</v>
      </c>
      <c r="EQ82">
        <v>0</v>
      </c>
      <c r="ER82">
        <v>157.65</v>
      </c>
      <c r="ES82">
        <v>157.65</v>
      </c>
      <c r="ET82">
        <v>0</v>
      </c>
      <c r="EU82">
        <v>0</v>
      </c>
      <c r="EV82">
        <v>0</v>
      </c>
      <c r="EW82">
        <v>0</v>
      </c>
      <c r="EX82">
        <v>0</v>
      </c>
      <c r="FQ82">
        <v>0</v>
      </c>
      <c r="FR82">
        <f t="shared" si="101"/>
        <v>0</v>
      </c>
      <c r="FS82">
        <v>0</v>
      </c>
      <c r="FX82">
        <v>134</v>
      </c>
      <c r="FY82">
        <v>83</v>
      </c>
      <c r="GA82" t="s">
        <v>3</v>
      </c>
      <c r="GD82">
        <v>0</v>
      </c>
      <c r="GF82">
        <v>-1725340503</v>
      </c>
      <c r="GG82">
        <v>2</v>
      </c>
      <c r="GH82">
        <v>1</v>
      </c>
      <c r="GI82">
        <v>2</v>
      </c>
      <c r="GJ82">
        <v>0</v>
      </c>
      <c r="GK82">
        <f>ROUND(R82*(R12)/100,2)</f>
        <v>0</v>
      </c>
      <c r="GL82">
        <f t="shared" si="102"/>
        <v>0</v>
      </c>
      <c r="GM82">
        <f t="shared" si="103"/>
        <v>66933.210000000006</v>
      </c>
      <c r="GN82">
        <f t="shared" si="104"/>
        <v>66933.210000000006</v>
      </c>
      <c r="GO82">
        <f t="shared" si="105"/>
        <v>0</v>
      </c>
      <c r="GP82">
        <f t="shared" si="106"/>
        <v>0</v>
      </c>
      <c r="GR82">
        <v>0</v>
      </c>
      <c r="GS82">
        <v>3</v>
      </c>
      <c r="GT82">
        <v>0</v>
      </c>
      <c r="GU82" t="s">
        <v>3</v>
      </c>
      <c r="GV82">
        <f t="shared" si="107"/>
        <v>0</v>
      </c>
      <c r="GW82">
        <v>1</v>
      </c>
      <c r="GX82">
        <f t="shared" si="108"/>
        <v>0</v>
      </c>
      <c r="HA82">
        <v>0</v>
      </c>
      <c r="HB82">
        <v>0</v>
      </c>
      <c r="HC82">
        <f t="shared" si="109"/>
        <v>0</v>
      </c>
      <c r="IK82">
        <v>0</v>
      </c>
    </row>
    <row r="83" spans="1:245">
      <c r="A83">
        <v>18</v>
      </c>
      <c r="B83">
        <v>1</v>
      </c>
      <c r="C83">
        <v>59</v>
      </c>
      <c r="E83" t="s">
        <v>148</v>
      </c>
      <c r="F83" t="s">
        <v>149</v>
      </c>
      <c r="G83" t="s">
        <v>150</v>
      </c>
      <c r="H83" t="s">
        <v>67</v>
      </c>
      <c r="I83">
        <f>I80*J83</f>
        <v>1.7550000000000001</v>
      </c>
      <c r="J83">
        <v>2.25</v>
      </c>
      <c r="O83">
        <f t="shared" si="70"/>
        <v>5608.49</v>
      </c>
      <c r="P83">
        <f t="shared" si="71"/>
        <v>5608.49</v>
      </c>
      <c r="Q83">
        <f t="shared" si="72"/>
        <v>0</v>
      </c>
      <c r="R83">
        <f t="shared" si="73"/>
        <v>0</v>
      </c>
      <c r="S83">
        <f t="shared" si="74"/>
        <v>0</v>
      </c>
      <c r="T83">
        <f t="shared" si="75"/>
        <v>0</v>
      </c>
      <c r="U83">
        <f t="shared" si="76"/>
        <v>0</v>
      </c>
      <c r="V83">
        <f t="shared" si="77"/>
        <v>0</v>
      </c>
      <c r="W83">
        <f t="shared" si="78"/>
        <v>0</v>
      </c>
      <c r="X83">
        <f t="shared" si="79"/>
        <v>0</v>
      </c>
      <c r="Y83">
        <f t="shared" si="80"/>
        <v>0</v>
      </c>
      <c r="AA83">
        <v>33985563</v>
      </c>
      <c r="AB83">
        <f t="shared" si="81"/>
        <v>438.37</v>
      </c>
      <c r="AC83">
        <f t="shared" si="82"/>
        <v>438.37</v>
      </c>
      <c r="AD83">
        <f t="shared" si="83"/>
        <v>0</v>
      </c>
      <c r="AE83">
        <f t="shared" si="84"/>
        <v>0</v>
      </c>
      <c r="AF83">
        <f t="shared" si="85"/>
        <v>0</v>
      </c>
      <c r="AG83">
        <f t="shared" si="86"/>
        <v>0</v>
      </c>
      <c r="AH83">
        <f t="shared" si="87"/>
        <v>0</v>
      </c>
      <c r="AI83">
        <f t="shared" si="88"/>
        <v>0</v>
      </c>
      <c r="AJ83">
        <f t="shared" si="89"/>
        <v>0</v>
      </c>
      <c r="AK83">
        <v>438.37</v>
      </c>
      <c r="AL83">
        <v>438.37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7.29</v>
      </c>
      <c r="BD83" t="s">
        <v>3</v>
      </c>
      <c r="BE83" t="s">
        <v>3</v>
      </c>
      <c r="BF83" t="s">
        <v>3</v>
      </c>
      <c r="BG83" t="s">
        <v>3</v>
      </c>
      <c r="BH83">
        <v>3</v>
      </c>
      <c r="BI83">
        <v>1</v>
      </c>
      <c r="BJ83" t="s">
        <v>151</v>
      </c>
      <c r="BM83">
        <v>305</v>
      </c>
      <c r="BN83">
        <v>0</v>
      </c>
      <c r="BO83" t="s">
        <v>149</v>
      </c>
      <c r="BP83">
        <v>1</v>
      </c>
      <c r="BQ83">
        <v>30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3</v>
      </c>
      <c r="BZ83">
        <v>0</v>
      </c>
      <c r="CA83">
        <v>0</v>
      </c>
      <c r="CE83">
        <v>30</v>
      </c>
      <c r="CF83">
        <v>0</v>
      </c>
      <c r="CG83">
        <v>0</v>
      </c>
      <c r="CM83">
        <v>0</v>
      </c>
      <c r="CN83" t="s">
        <v>3</v>
      </c>
      <c r="CO83">
        <v>0</v>
      </c>
      <c r="CP83">
        <f t="shared" si="90"/>
        <v>5608.49</v>
      </c>
      <c r="CQ83">
        <f t="shared" si="91"/>
        <v>3195.72</v>
      </c>
      <c r="CR83">
        <f t="shared" si="92"/>
        <v>0</v>
      </c>
      <c r="CS83">
        <f t="shared" si="93"/>
        <v>0</v>
      </c>
      <c r="CT83">
        <f t="shared" si="94"/>
        <v>0</v>
      </c>
      <c r="CU83">
        <f t="shared" si="95"/>
        <v>0</v>
      </c>
      <c r="CV83">
        <f t="shared" si="96"/>
        <v>0</v>
      </c>
      <c r="CW83">
        <f t="shared" si="97"/>
        <v>0</v>
      </c>
      <c r="CX83">
        <f t="shared" si="98"/>
        <v>0</v>
      </c>
      <c r="CY83">
        <f t="shared" si="99"/>
        <v>0</v>
      </c>
      <c r="CZ83">
        <f t="shared" si="100"/>
        <v>0</v>
      </c>
      <c r="DC83" t="s">
        <v>3</v>
      </c>
      <c r="DD83" t="s">
        <v>3</v>
      </c>
      <c r="DE83" t="s">
        <v>3</v>
      </c>
      <c r="DF83" t="s">
        <v>3</v>
      </c>
      <c r="DG83" t="s">
        <v>3</v>
      </c>
      <c r="DH83" t="s">
        <v>3</v>
      </c>
      <c r="DI83" t="s">
        <v>3</v>
      </c>
      <c r="DJ83" t="s">
        <v>3</v>
      </c>
      <c r="DK83" t="s">
        <v>3</v>
      </c>
      <c r="DL83" t="s">
        <v>3</v>
      </c>
      <c r="DM83" t="s">
        <v>3</v>
      </c>
      <c r="DN83">
        <v>134</v>
      </c>
      <c r="DO83">
        <v>83</v>
      </c>
      <c r="DP83">
        <v>1</v>
      </c>
      <c r="DQ83">
        <v>1</v>
      </c>
      <c r="DU83">
        <v>1009</v>
      </c>
      <c r="DV83" t="s">
        <v>67</v>
      </c>
      <c r="DW83" t="s">
        <v>67</v>
      </c>
      <c r="DX83">
        <v>1000</v>
      </c>
      <c r="EE83">
        <v>33795739</v>
      </c>
      <c r="EF83">
        <v>30</v>
      </c>
      <c r="EG83" t="s">
        <v>20</v>
      </c>
      <c r="EH83">
        <v>0</v>
      </c>
      <c r="EI83" t="s">
        <v>3</v>
      </c>
      <c r="EJ83">
        <v>1</v>
      </c>
      <c r="EK83">
        <v>305</v>
      </c>
      <c r="EL83" t="s">
        <v>136</v>
      </c>
      <c r="EM83" t="s">
        <v>137</v>
      </c>
      <c r="EO83" t="s">
        <v>3</v>
      </c>
      <c r="EQ83">
        <v>0</v>
      </c>
      <c r="ER83">
        <v>438.37</v>
      </c>
      <c r="ES83">
        <v>438.37</v>
      </c>
      <c r="ET83">
        <v>0</v>
      </c>
      <c r="EU83">
        <v>0</v>
      </c>
      <c r="EV83">
        <v>0</v>
      </c>
      <c r="EW83">
        <v>0</v>
      </c>
      <c r="EX83">
        <v>0</v>
      </c>
      <c r="FQ83">
        <v>0</v>
      </c>
      <c r="FR83">
        <f t="shared" si="101"/>
        <v>0</v>
      </c>
      <c r="FS83">
        <v>0</v>
      </c>
      <c r="FX83">
        <v>134</v>
      </c>
      <c r="FY83">
        <v>83</v>
      </c>
      <c r="GA83" t="s">
        <v>3</v>
      </c>
      <c r="GD83">
        <v>0</v>
      </c>
      <c r="GF83">
        <v>2029920186</v>
      </c>
      <c r="GG83">
        <v>2</v>
      </c>
      <c r="GH83">
        <v>1</v>
      </c>
      <c r="GI83">
        <v>2</v>
      </c>
      <c r="GJ83">
        <v>0</v>
      </c>
      <c r="GK83">
        <f>ROUND(R83*(R12)/100,2)</f>
        <v>0</v>
      </c>
      <c r="GL83">
        <f t="shared" si="102"/>
        <v>0</v>
      </c>
      <c r="GM83">
        <f t="shared" si="103"/>
        <v>5608.49</v>
      </c>
      <c r="GN83">
        <f t="shared" si="104"/>
        <v>5608.49</v>
      </c>
      <c r="GO83">
        <f t="shared" si="105"/>
        <v>0</v>
      </c>
      <c r="GP83">
        <f t="shared" si="106"/>
        <v>0</v>
      </c>
      <c r="GR83">
        <v>0</v>
      </c>
      <c r="GS83">
        <v>0</v>
      </c>
      <c r="GT83">
        <v>0</v>
      </c>
      <c r="GU83" t="s">
        <v>3</v>
      </c>
      <c r="GV83">
        <f t="shared" si="107"/>
        <v>0</v>
      </c>
      <c r="GW83">
        <v>1</v>
      </c>
      <c r="GX83">
        <f t="shared" si="108"/>
        <v>0</v>
      </c>
      <c r="HA83">
        <v>0</v>
      </c>
      <c r="HB83">
        <v>0</v>
      </c>
      <c r="HC83">
        <f t="shared" si="109"/>
        <v>0</v>
      </c>
      <c r="IK83">
        <v>0</v>
      </c>
    </row>
    <row r="85" spans="1:245">
      <c r="A85" s="2">
        <v>51</v>
      </c>
      <c r="B85" s="2">
        <f>B69</f>
        <v>1</v>
      </c>
      <c r="C85" s="2">
        <f>A69</f>
        <v>4</v>
      </c>
      <c r="D85" s="2">
        <f>ROW(A69)</f>
        <v>69</v>
      </c>
      <c r="E85" s="2"/>
      <c r="F85" s="2" t="str">
        <f>IF(F69&lt;&gt;"",F69,"")</f>
        <v>Новый раздел</v>
      </c>
      <c r="G85" s="2" t="str">
        <f>IF(G69&lt;&gt;"",G69,"")</f>
        <v>27.1 Плиточное покрытие</v>
      </c>
      <c r="H85" s="2">
        <v>0</v>
      </c>
      <c r="I85" s="2"/>
      <c r="J85" s="2"/>
      <c r="K85" s="2"/>
      <c r="L85" s="2"/>
      <c r="M85" s="2"/>
      <c r="N85" s="2"/>
      <c r="O85" s="2">
        <f t="shared" ref="O85:T85" si="110">ROUND(AB85,2)</f>
        <v>140491.46</v>
      </c>
      <c r="P85" s="2">
        <f t="shared" si="110"/>
        <v>104494.09</v>
      </c>
      <c r="Q85" s="2">
        <f t="shared" si="110"/>
        <v>7377.92</v>
      </c>
      <c r="R85" s="2">
        <f t="shared" si="110"/>
        <v>3502.61</v>
      </c>
      <c r="S85" s="2">
        <f t="shared" si="110"/>
        <v>28619.45</v>
      </c>
      <c r="T85" s="2">
        <f t="shared" si="110"/>
        <v>0</v>
      </c>
      <c r="U85" s="2">
        <f>AH85</f>
        <v>104.87190480000001</v>
      </c>
      <c r="V85" s="2">
        <f>AI85</f>
        <v>0</v>
      </c>
      <c r="W85" s="2">
        <f>ROUND(AJ85,2)</f>
        <v>0</v>
      </c>
      <c r="X85" s="2">
        <f>ROUND(AK85,2)</f>
        <v>30024.9</v>
      </c>
      <c r="Y85" s="2">
        <f>ROUND(AL85,2)</f>
        <v>11888.37</v>
      </c>
      <c r="Z85" s="2"/>
      <c r="AA85" s="2"/>
      <c r="AB85" s="2">
        <f>ROUND(SUMIF(AA73:AA83,"=33985563",O73:O83),2)</f>
        <v>140491.46</v>
      </c>
      <c r="AC85" s="2">
        <f>ROUND(SUMIF(AA73:AA83,"=33985563",P73:P83),2)</f>
        <v>104494.09</v>
      </c>
      <c r="AD85" s="2">
        <f>ROUND(SUMIF(AA73:AA83,"=33985563",Q73:Q83),2)</f>
        <v>7377.92</v>
      </c>
      <c r="AE85" s="2">
        <f>ROUND(SUMIF(AA73:AA83,"=33985563",R73:R83),2)</f>
        <v>3502.61</v>
      </c>
      <c r="AF85" s="2">
        <f>ROUND(SUMIF(AA73:AA83,"=33985563",S73:S83),2)</f>
        <v>28619.45</v>
      </c>
      <c r="AG85" s="2">
        <f>ROUND(SUMIF(AA73:AA83,"=33985563",T73:T83),2)</f>
        <v>0</v>
      </c>
      <c r="AH85" s="2">
        <f>SUMIF(AA73:AA83,"=33985563",U73:U83)</f>
        <v>104.87190480000001</v>
      </c>
      <c r="AI85" s="2">
        <f>SUMIF(AA73:AA83,"=33985563",V73:V83)</f>
        <v>0</v>
      </c>
      <c r="AJ85" s="2">
        <f>ROUND(SUMIF(AA73:AA83,"=33985563",W73:W83),2)</f>
        <v>0</v>
      </c>
      <c r="AK85" s="2">
        <f>ROUND(SUMIF(AA73:AA83,"=33985563",X73:X83),2)</f>
        <v>30024.9</v>
      </c>
      <c r="AL85" s="2">
        <f>ROUND(SUMIF(AA73:AA83,"=33985563",Y73:Y83),2)</f>
        <v>11888.37</v>
      </c>
      <c r="AM85" s="2"/>
      <c r="AN85" s="2"/>
      <c r="AO85" s="2">
        <f t="shared" ref="AO85:BD85" si="111">ROUND(BX85,2)</f>
        <v>0</v>
      </c>
      <c r="AP85" s="2">
        <f t="shared" si="111"/>
        <v>0</v>
      </c>
      <c r="AQ85" s="2">
        <f t="shared" si="111"/>
        <v>0</v>
      </c>
      <c r="AR85" s="2">
        <f t="shared" si="111"/>
        <v>187903.82</v>
      </c>
      <c r="AS85" s="2">
        <f t="shared" si="111"/>
        <v>187903.82</v>
      </c>
      <c r="AT85" s="2">
        <f t="shared" si="111"/>
        <v>0</v>
      </c>
      <c r="AU85" s="2">
        <f t="shared" si="111"/>
        <v>0</v>
      </c>
      <c r="AV85" s="2">
        <f t="shared" si="111"/>
        <v>104494.09</v>
      </c>
      <c r="AW85" s="2">
        <f t="shared" si="111"/>
        <v>104494.09</v>
      </c>
      <c r="AX85" s="2">
        <f t="shared" si="111"/>
        <v>0</v>
      </c>
      <c r="AY85" s="2">
        <f t="shared" si="111"/>
        <v>104494.09</v>
      </c>
      <c r="AZ85" s="2">
        <f t="shared" si="111"/>
        <v>0</v>
      </c>
      <c r="BA85" s="2">
        <f t="shared" si="111"/>
        <v>0</v>
      </c>
      <c r="BB85" s="2">
        <f t="shared" si="111"/>
        <v>0</v>
      </c>
      <c r="BC85" s="2">
        <f t="shared" si="111"/>
        <v>0</v>
      </c>
      <c r="BD85" s="2">
        <f t="shared" si="111"/>
        <v>0</v>
      </c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>
        <f>ROUND(SUMIF(AA73:AA83,"=33985563",FQ73:FQ83),2)</f>
        <v>0</v>
      </c>
      <c r="BY85" s="2">
        <f>ROUND(SUMIF(AA73:AA83,"=33985563",FR73:FR83),2)</f>
        <v>0</v>
      </c>
      <c r="BZ85" s="2">
        <f>ROUND(SUMIF(AA73:AA83,"=33985563",GL73:GL83),2)</f>
        <v>0</v>
      </c>
      <c r="CA85" s="2">
        <f>ROUND(SUMIF(AA73:AA83,"=33985563",GM73:GM83),2)</f>
        <v>187903.82</v>
      </c>
      <c r="CB85" s="2">
        <f>ROUND(SUMIF(AA73:AA83,"=33985563",GN73:GN83),2)</f>
        <v>187903.82</v>
      </c>
      <c r="CC85" s="2">
        <f>ROUND(SUMIF(AA73:AA83,"=33985563",GO73:GO83),2)</f>
        <v>0</v>
      </c>
      <c r="CD85" s="2">
        <f>ROUND(SUMIF(AA73:AA83,"=33985563",GP73:GP83),2)</f>
        <v>0</v>
      </c>
      <c r="CE85" s="2">
        <f>AC85-BX85</f>
        <v>104494.09</v>
      </c>
      <c r="CF85" s="2">
        <f>AC85-BY85</f>
        <v>104494.09</v>
      </c>
      <c r="CG85" s="2">
        <f>BX85-BZ85</f>
        <v>0</v>
      </c>
      <c r="CH85" s="2">
        <f>AC85-BX85-BY85+BZ85</f>
        <v>104494.09</v>
      </c>
      <c r="CI85" s="2">
        <f>BY85-BZ85</f>
        <v>0</v>
      </c>
      <c r="CJ85" s="2">
        <f>ROUND(SUMIF(AA73:AA83,"=33985563",GX73:GX83),2)</f>
        <v>0</v>
      </c>
      <c r="CK85" s="2">
        <f>ROUND(SUMIF(AA73:AA83,"=33985563",GY73:GY83),2)</f>
        <v>0</v>
      </c>
      <c r="CL85" s="2">
        <f>ROUND(SUMIF(AA73:AA83,"=33985563",GZ73:GZ83),2)</f>
        <v>0</v>
      </c>
      <c r="CM85" s="2">
        <f>ROUND(SUMIF(AA73:AA83,"=33985563",HD73:HD83),2)</f>
        <v>0</v>
      </c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>
        <v>0</v>
      </c>
    </row>
    <row r="87" spans="1:245">
      <c r="A87" s="4">
        <v>50</v>
      </c>
      <c r="B87" s="4">
        <v>0</v>
      </c>
      <c r="C87" s="4">
        <v>0</v>
      </c>
      <c r="D87" s="4">
        <v>1</v>
      </c>
      <c r="E87" s="4">
        <v>201</v>
      </c>
      <c r="F87" s="4">
        <f>ROUND(Source!O85,O87)</f>
        <v>140491.46</v>
      </c>
      <c r="G87" s="4" t="s">
        <v>69</v>
      </c>
      <c r="H87" s="4" t="s">
        <v>70</v>
      </c>
      <c r="I87" s="4"/>
      <c r="J87" s="4"/>
      <c r="K87" s="4">
        <v>201</v>
      </c>
      <c r="L87" s="4">
        <v>1</v>
      </c>
      <c r="M87" s="4">
        <v>3</v>
      </c>
      <c r="N87" s="4" t="s">
        <v>3</v>
      </c>
      <c r="O87" s="4">
        <v>2</v>
      </c>
      <c r="P87" s="4"/>
      <c r="Q87" s="4"/>
      <c r="R87" s="4"/>
      <c r="S87" s="4"/>
      <c r="T87" s="4"/>
      <c r="U87" s="4"/>
      <c r="V87" s="4"/>
      <c r="W87" s="4"/>
    </row>
    <row r="88" spans="1:245">
      <c r="A88" s="4">
        <v>50</v>
      </c>
      <c r="B88" s="4">
        <v>0</v>
      </c>
      <c r="C88" s="4">
        <v>0</v>
      </c>
      <c r="D88" s="4">
        <v>1</v>
      </c>
      <c r="E88" s="4">
        <v>202</v>
      </c>
      <c r="F88" s="4">
        <f>ROUND(Source!P85,O88)</f>
        <v>104494.09</v>
      </c>
      <c r="G88" s="4" t="s">
        <v>71</v>
      </c>
      <c r="H88" s="4" t="s">
        <v>72</v>
      </c>
      <c r="I88" s="4"/>
      <c r="J88" s="4"/>
      <c r="K88" s="4">
        <v>202</v>
      </c>
      <c r="L88" s="4">
        <v>2</v>
      </c>
      <c r="M88" s="4">
        <v>3</v>
      </c>
      <c r="N88" s="4" t="s">
        <v>3</v>
      </c>
      <c r="O88" s="4">
        <v>2</v>
      </c>
      <c r="P88" s="4"/>
      <c r="Q88" s="4"/>
      <c r="R88" s="4"/>
      <c r="S88" s="4"/>
      <c r="T88" s="4"/>
      <c r="U88" s="4"/>
      <c r="V88" s="4"/>
      <c r="W88" s="4"/>
    </row>
    <row r="89" spans="1:245">
      <c r="A89" s="4">
        <v>50</v>
      </c>
      <c r="B89" s="4">
        <v>0</v>
      </c>
      <c r="C89" s="4">
        <v>0</v>
      </c>
      <c r="D89" s="4">
        <v>1</v>
      </c>
      <c r="E89" s="4">
        <v>222</v>
      </c>
      <c r="F89" s="4">
        <f>ROUND(Source!AO85,O89)</f>
        <v>0</v>
      </c>
      <c r="G89" s="4" t="s">
        <v>73</v>
      </c>
      <c r="H89" s="4" t="s">
        <v>74</v>
      </c>
      <c r="I89" s="4"/>
      <c r="J89" s="4"/>
      <c r="K89" s="4">
        <v>222</v>
      </c>
      <c r="L89" s="4">
        <v>3</v>
      </c>
      <c r="M89" s="4">
        <v>3</v>
      </c>
      <c r="N89" s="4" t="s">
        <v>3</v>
      </c>
      <c r="O89" s="4">
        <v>2</v>
      </c>
      <c r="P89" s="4"/>
      <c r="Q89" s="4"/>
      <c r="R89" s="4"/>
      <c r="S89" s="4"/>
      <c r="T89" s="4"/>
      <c r="U89" s="4"/>
      <c r="V89" s="4"/>
      <c r="W89" s="4"/>
    </row>
    <row r="90" spans="1:245">
      <c r="A90" s="4">
        <v>50</v>
      </c>
      <c r="B90" s="4">
        <v>0</v>
      </c>
      <c r="C90" s="4">
        <v>0</v>
      </c>
      <c r="D90" s="4">
        <v>1</v>
      </c>
      <c r="E90" s="4">
        <v>225</v>
      </c>
      <c r="F90" s="4">
        <f>ROUND(Source!AV85,O90)</f>
        <v>104494.09</v>
      </c>
      <c r="G90" s="4" t="s">
        <v>75</v>
      </c>
      <c r="H90" s="4" t="s">
        <v>76</v>
      </c>
      <c r="I90" s="4"/>
      <c r="J90" s="4"/>
      <c r="K90" s="4">
        <v>225</v>
      </c>
      <c r="L90" s="4">
        <v>4</v>
      </c>
      <c r="M90" s="4">
        <v>3</v>
      </c>
      <c r="N90" s="4" t="s">
        <v>3</v>
      </c>
      <c r="O90" s="4">
        <v>2</v>
      </c>
      <c r="P90" s="4"/>
      <c r="Q90" s="4"/>
      <c r="R90" s="4"/>
      <c r="S90" s="4"/>
      <c r="T90" s="4"/>
      <c r="U90" s="4"/>
      <c r="V90" s="4"/>
      <c r="W90" s="4"/>
    </row>
    <row r="91" spans="1:245">
      <c r="A91" s="4">
        <v>50</v>
      </c>
      <c r="B91" s="4">
        <v>0</v>
      </c>
      <c r="C91" s="4">
        <v>0</v>
      </c>
      <c r="D91" s="4">
        <v>1</v>
      </c>
      <c r="E91" s="4">
        <v>226</v>
      </c>
      <c r="F91" s="4">
        <f>ROUND(Source!AW85,O91)</f>
        <v>104494.09</v>
      </c>
      <c r="G91" s="4" t="s">
        <v>77</v>
      </c>
      <c r="H91" s="4" t="s">
        <v>78</v>
      </c>
      <c r="I91" s="4"/>
      <c r="J91" s="4"/>
      <c r="K91" s="4">
        <v>226</v>
      </c>
      <c r="L91" s="4">
        <v>5</v>
      </c>
      <c r="M91" s="4">
        <v>3</v>
      </c>
      <c r="N91" s="4" t="s">
        <v>3</v>
      </c>
      <c r="O91" s="4">
        <v>2</v>
      </c>
      <c r="P91" s="4"/>
      <c r="Q91" s="4"/>
      <c r="R91" s="4"/>
      <c r="S91" s="4"/>
      <c r="T91" s="4"/>
      <c r="U91" s="4"/>
      <c r="V91" s="4"/>
      <c r="W91" s="4"/>
    </row>
    <row r="92" spans="1:245">
      <c r="A92" s="4">
        <v>50</v>
      </c>
      <c r="B92" s="4">
        <v>0</v>
      </c>
      <c r="C92" s="4">
        <v>0</v>
      </c>
      <c r="D92" s="4">
        <v>1</v>
      </c>
      <c r="E92" s="4">
        <v>227</v>
      </c>
      <c r="F92" s="4">
        <f>ROUND(Source!AX85,O92)</f>
        <v>0</v>
      </c>
      <c r="G92" s="4" t="s">
        <v>79</v>
      </c>
      <c r="H92" s="4" t="s">
        <v>80</v>
      </c>
      <c r="I92" s="4"/>
      <c r="J92" s="4"/>
      <c r="K92" s="4">
        <v>227</v>
      </c>
      <c r="L92" s="4">
        <v>6</v>
      </c>
      <c r="M92" s="4">
        <v>3</v>
      </c>
      <c r="N92" s="4" t="s">
        <v>3</v>
      </c>
      <c r="O92" s="4">
        <v>2</v>
      </c>
      <c r="P92" s="4"/>
      <c r="Q92" s="4"/>
      <c r="R92" s="4"/>
      <c r="S92" s="4"/>
      <c r="T92" s="4"/>
      <c r="U92" s="4"/>
      <c r="V92" s="4"/>
      <c r="W92" s="4"/>
    </row>
    <row r="93" spans="1:245">
      <c r="A93" s="4">
        <v>50</v>
      </c>
      <c r="B93" s="4">
        <v>0</v>
      </c>
      <c r="C93" s="4">
        <v>0</v>
      </c>
      <c r="D93" s="4">
        <v>1</v>
      </c>
      <c r="E93" s="4">
        <v>228</v>
      </c>
      <c r="F93" s="4">
        <f>ROUND(Source!AY85,O93)</f>
        <v>104494.09</v>
      </c>
      <c r="G93" s="4" t="s">
        <v>81</v>
      </c>
      <c r="H93" s="4" t="s">
        <v>82</v>
      </c>
      <c r="I93" s="4"/>
      <c r="J93" s="4"/>
      <c r="K93" s="4">
        <v>228</v>
      </c>
      <c r="L93" s="4">
        <v>7</v>
      </c>
      <c r="M93" s="4">
        <v>3</v>
      </c>
      <c r="N93" s="4" t="s">
        <v>3</v>
      </c>
      <c r="O93" s="4">
        <v>2</v>
      </c>
      <c r="P93" s="4"/>
      <c r="Q93" s="4"/>
      <c r="R93" s="4"/>
      <c r="S93" s="4"/>
      <c r="T93" s="4"/>
      <c r="U93" s="4"/>
      <c r="V93" s="4"/>
      <c r="W93" s="4"/>
    </row>
    <row r="94" spans="1:245">
      <c r="A94" s="4">
        <v>50</v>
      </c>
      <c r="B94" s="4">
        <v>0</v>
      </c>
      <c r="C94" s="4">
        <v>0</v>
      </c>
      <c r="D94" s="4">
        <v>1</v>
      </c>
      <c r="E94" s="4">
        <v>216</v>
      </c>
      <c r="F94" s="4">
        <f>ROUND(Source!AP85,O94)</f>
        <v>0</v>
      </c>
      <c r="G94" s="4" t="s">
        <v>83</v>
      </c>
      <c r="H94" s="4" t="s">
        <v>84</v>
      </c>
      <c r="I94" s="4"/>
      <c r="J94" s="4"/>
      <c r="K94" s="4">
        <v>216</v>
      </c>
      <c r="L94" s="4">
        <v>8</v>
      </c>
      <c r="M94" s="4">
        <v>3</v>
      </c>
      <c r="N94" s="4" t="s">
        <v>3</v>
      </c>
      <c r="O94" s="4">
        <v>2</v>
      </c>
      <c r="P94" s="4"/>
      <c r="Q94" s="4"/>
      <c r="R94" s="4"/>
      <c r="S94" s="4"/>
      <c r="T94" s="4"/>
      <c r="U94" s="4"/>
      <c r="V94" s="4"/>
      <c r="W94" s="4"/>
    </row>
    <row r="95" spans="1:245">
      <c r="A95" s="4">
        <v>50</v>
      </c>
      <c r="B95" s="4">
        <v>0</v>
      </c>
      <c r="C95" s="4">
        <v>0</v>
      </c>
      <c r="D95" s="4">
        <v>1</v>
      </c>
      <c r="E95" s="4">
        <v>223</v>
      </c>
      <c r="F95" s="4">
        <f>ROUND(Source!AQ85,O95)</f>
        <v>0</v>
      </c>
      <c r="G95" s="4" t="s">
        <v>85</v>
      </c>
      <c r="H95" s="4" t="s">
        <v>86</v>
      </c>
      <c r="I95" s="4"/>
      <c r="J95" s="4"/>
      <c r="K95" s="4">
        <v>223</v>
      </c>
      <c r="L95" s="4">
        <v>9</v>
      </c>
      <c r="M95" s="4">
        <v>3</v>
      </c>
      <c r="N95" s="4" t="s">
        <v>3</v>
      </c>
      <c r="O95" s="4">
        <v>2</v>
      </c>
      <c r="P95" s="4"/>
      <c r="Q95" s="4"/>
      <c r="R95" s="4"/>
      <c r="S95" s="4"/>
      <c r="T95" s="4"/>
      <c r="U95" s="4"/>
      <c r="V95" s="4"/>
      <c r="W95" s="4"/>
    </row>
    <row r="96" spans="1:245">
      <c r="A96" s="4">
        <v>50</v>
      </c>
      <c r="B96" s="4">
        <v>0</v>
      </c>
      <c r="C96" s="4">
        <v>0</v>
      </c>
      <c r="D96" s="4">
        <v>1</v>
      </c>
      <c r="E96" s="4">
        <v>229</v>
      </c>
      <c r="F96" s="4">
        <f>ROUND(Source!AZ85,O96)</f>
        <v>0</v>
      </c>
      <c r="G96" s="4" t="s">
        <v>87</v>
      </c>
      <c r="H96" s="4" t="s">
        <v>88</v>
      </c>
      <c r="I96" s="4"/>
      <c r="J96" s="4"/>
      <c r="K96" s="4">
        <v>229</v>
      </c>
      <c r="L96" s="4">
        <v>10</v>
      </c>
      <c r="M96" s="4">
        <v>3</v>
      </c>
      <c r="N96" s="4" t="s">
        <v>3</v>
      </c>
      <c r="O96" s="4">
        <v>2</v>
      </c>
      <c r="P96" s="4"/>
      <c r="Q96" s="4"/>
      <c r="R96" s="4"/>
      <c r="S96" s="4"/>
      <c r="T96" s="4"/>
      <c r="U96" s="4"/>
      <c r="V96" s="4"/>
      <c r="W96" s="4"/>
    </row>
    <row r="97" spans="1:23">
      <c r="A97" s="4">
        <v>50</v>
      </c>
      <c r="B97" s="4">
        <v>0</v>
      </c>
      <c r="C97" s="4">
        <v>0</v>
      </c>
      <c r="D97" s="4">
        <v>1</v>
      </c>
      <c r="E97" s="4">
        <v>203</v>
      </c>
      <c r="F97" s="4">
        <f>ROUND(Source!Q85,O97)</f>
        <v>7377.92</v>
      </c>
      <c r="G97" s="4" t="s">
        <v>89</v>
      </c>
      <c r="H97" s="4" t="s">
        <v>90</v>
      </c>
      <c r="I97" s="4"/>
      <c r="J97" s="4"/>
      <c r="K97" s="4">
        <v>203</v>
      </c>
      <c r="L97" s="4">
        <v>11</v>
      </c>
      <c r="M97" s="4">
        <v>3</v>
      </c>
      <c r="N97" s="4" t="s">
        <v>3</v>
      </c>
      <c r="O97" s="4">
        <v>2</v>
      </c>
      <c r="P97" s="4"/>
      <c r="Q97" s="4"/>
      <c r="R97" s="4"/>
      <c r="S97" s="4"/>
      <c r="T97" s="4"/>
      <c r="U97" s="4"/>
      <c r="V97" s="4"/>
      <c r="W97" s="4"/>
    </row>
    <row r="98" spans="1:23">
      <c r="A98" s="4">
        <v>50</v>
      </c>
      <c r="B98" s="4">
        <v>0</v>
      </c>
      <c r="C98" s="4">
        <v>0</v>
      </c>
      <c r="D98" s="4">
        <v>1</v>
      </c>
      <c r="E98" s="4">
        <v>231</v>
      </c>
      <c r="F98" s="4">
        <f>ROUND(Source!BB85,O98)</f>
        <v>0</v>
      </c>
      <c r="G98" s="4" t="s">
        <v>91</v>
      </c>
      <c r="H98" s="4" t="s">
        <v>92</v>
      </c>
      <c r="I98" s="4"/>
      <c r="J98" s="4"/>
      <c r="K98" s="4">
        <v>231</v>
      </c>
      <c r="L98" s="4">
        <v>12</v>
      </c>
      <c r="M98" s="4">
        <v>3</v>
      </c>
      <c r="N98" s="4" t="s">
        <v>3</v>
      </c>
      <c r="O98" s="4">
        <v>2</v>
      </c>
      <c r="P98" s="4"/>
      <c r="Q98" s="4"/>
      <c r="R98" s="4"/>
      <c r="S98" s="4"/>
      <c r="T98" s="4"/>
      <c r="U98" s="4"/>
      <c r="V98" s="4"/>
      <c r="W98" s="4"/>
    </row>
    <row r="99" spans="1:23">
      <c r="A99" s="4">
        <v>50</v>
      </c>
      <c r="B99" s="4">
        <v>0</v>
      </c>
      <c r="C99" s="4">
        <v>0</v>
      </c>
      <c r="D99" s="4">
        <v>1</v>
      </c>
      <c r="E99" s="4">
        <v>204</v>
      </c>
      <c r="F99" s="4">
        <f>ROUND(Source!R85,O99)</f>
        <v>3502.61</v>
      </c>
      <c r="G99" s="4" t="s">
        <v>93</v>
      </c>
      <c r="H99" s="4" t="s">
        <v>94</v>
      </c>
      <c r="I99" s="4"/>
      <c r="J99" s="4"/>
      <c r="K99" s="4">
        <v>204</v>
      </c>
      <c r="L99" s="4">
        <v>13</v>
      </c>
      <c r="M99" s="4">
        <v>3</v>
      </c>
      <c r="N99" s="4" t="s">
        <v>3</v>
      </c>
      <c r="O99" s="4">
        <v>2</v>
      </c>
      <c r="P99" s="4"/>
      <c r="Q99" s="4"/>
      <c r="R99" s="4"/>
      <c r="S99" s="4"/>
      <c r="T99" s="4"/>
      <c r="U99" s="4"/>
      <c r="V99" s="4"/>
      <c r="W99" s="4"/>
    </row>
    <row r="100" spans="1:23">
      <c r="A100" s="4">
        <v>50</v>
      </c>
      <c r="B100" s="4">
        <v>0</v>
      </c>
      <c r="C100" s="4">
        <v>0</v>
      </c>
      <c r="D100" s="4">
        <v>1</v>
      </c>
      <c r="E100" s="4">
        <v>205</v>
      </c>
      <c r="F100" s="4">
        <f>ROUND(Source!S85,O100)</f>
        <v>28619.45</v>
      </c>
      <c r="G100" s="4" t="s">
        <v>95</v>
      </c>
      <c r="H100" s="4" t="s">
        <v>96</v>
      </c>
      <c r="I100" s="4"/>
      <c r="J100" s="4"/>
      <c r="K100" s="4">
        <v>205</v>
      </c>
      <c r="L100" s="4">
        <v>14</v>
      </c>
      <c r="M100" s="4">
        <v>3</v>
      </c>
      <c r="N100" s="4" t="s">
        <v>3</v>
      </c>
      <c r="O100" s="4">
        <v>2</v>
      </c>
      <c r="P100" s="4"/>
      <c r="Q100" s="4"/>
      <c r="R100" s="4"/>
      <c r="S100" s="4"/>
      <c r="T100" s="4"/>
      <c r="U100" s="4"/>
      <c r="V100" s="4"/>
      <c r="W100" s="4"/>
    </row>
    <row r="101" spans="1:23">
      <c r="A101" s="4">
        <v>50</v>
      </c>
      <c r="B101" s="4">
        <v>0</v>
      </c>
      <c r="C101" s="4">
        <v>0</v>
      </c>
      <c r="D101" s="4">
        <v>1</v>
      </c>
      <c r="E101" s="4">
        <v>232</v>
      </c>
      <c r="F101" s="4">
        <f>ROUND(Source!BC85,O101)</f>
        <v>0</v>
      </c>
      <c r="G101" s="4" t="s">
        <v>97</v>
      </c>
      <c r="H101" s="4" t="s">
        <v>98</v>
      </c>
      <c r="I101" s="4"/>
      <c r="J101" s="4"/>
      <c r="K101" s="4">
        <v>232</v>
      </c>
      <c r="L101" s="4">
        <v>15</v>
      </c>
      <c r="M101" s="4">
        <v>3</v>
      </c>
      <c r="N101" s="4" t="s">
        <v>3</v>
      </c>
      <c r="O101" s="4">
        <v>2</v>
      </c>
      <c r="P101" s="4"/>
      <c r="Q101" s="4"/>
      <c r="R101" s="4"/>
      <c r="S101" s="4"/>
      <c r="T101" s="4"/>
      <c r="U101" s="4"/>
      <c r="V101" s="4"/>
      <c r="W101" s="4"/>
    </row>
    <row r="102" spans="1:23">
      <c r="A102" s="4">
        <v>50</v>
      </c>
      <c r="B102" s="4">
        <v>0</v>
      </c>
      <c r="C102" s="4">
        <v>0</v>
      </c>
      <c r="D102" s="4">
        <v>1</v>
      </c>
      <c r="E102" s="4">
        <v>214</v>
      </c>
      <c r="F102" s="4">
        <f>ROUND(Source!AS85,O102)</f>
        <v>187903.82</v>
      </c>
      <c r="G102" s="4" t="s">
        <v>99</v>
      </c>
      <c r="H102" s="4" t="s">
        <v>100</v>
      </c>
      <c r="I102" s="4"/>
      <c r="J102" s="4"/>
      <c r="K102" s="4">
        <v>214</v>
      </c>
      <c r="L102" s="4">
        <v>16</v>
      </c>
      <c r="M102" s="4">
        <v>3</v>
      </c>
      <c r="N102" s="4" t="s">
        <v>3</v>
      </c>
      <c r="O102" s="4">
        <v>2</v>
      </c>
      <c r="P102" s="4"/>
      <c r="Q102" s="4"/>
      <c r="R102" s="4"/>
      <c r="S102" s="4"/>
      <c r="T102" s="4"/>
      <c r="U102" s="4"/>
      <c r="V102" s="4"/>
      <c r="W102" s="4"/>
    </row>
    <row r="103" spans="1:23">
      <c r="A103" s="4">
        <v>50</v>
      </c>
      <c r="B103" s="4">
        <v>0</v>
      </c>
      <c r="C103" s="4">
        <v>0</v>
      </c>
      <c r="D103" s="4">
        <v>1</v>
      </c>
      <c r="E103" s="4">
        <v>215</v>
      </c>
      <c r="F103" s="4">
        <f>ROUND(Source!AT85,O103)</f>
        <v>0</v>
      </c>
      <c r="G103" s="4" t="s">
        <v>101</v>
      </c>
      <c r="H103" s="4" t="s">
        <v>102</v>
      </c>
      <c r="I103" s="4"/>
      <c r="J103" s="4"/>
      <c r="K103" s="4">
        <v>215</v>
      </c>
      <c r="L103" s="4">
        <v>17</v>
      </c>
      <c r="M103" s="4">
        <v>3</v>
      </c>
      <c r="N103" s="4" t="s">
        <v>3</v>
      </c>
      <c r="O103" s="4">
        <v>2</v>
      </c>
      <c r="P103" s="4"/>
      <c r="Q103" s="4"/>
      <c r="R103" s="4"/>
      <c r="S103" s="4"/>
      <c r="T103" s="4"/>
      <c r="U103" s="4"/>
      <c r="V103" s="4"/>
      <c r="W103" s="4"/>
    </row>
    <row r="104" spans="1:23">
      <c r="A104" s="4">
        <v>50</v>
      </c>
      <c r="B104" s="4">
        <v>0</v>
      </c>
      <c r="C104" s="4">
        <v>0</v>
      </c>
      <c r="D104" s="4">
        <v>1</v>
      </c>
      <c r="E104" s="4">
        <v>217</v>
      </c>
      <c r="F104" s="4">
        <f>ROUND(Source!AU85,O104)</f>
        <v>0</v>
      </c>
      <c r="G104" s="4" t="s">
        <v>103</v>
      </c>
      <c r="H104" s="4" t="s">
        <v>104</v>
      </c>
      <c r="I104" s="4"/>
      <c r="J104" s="4"/>
      <c r="K104" s="4">
        <v>217</v>
      </c>
      <c r="L104" s="4">
        <v>18</v>
      </c>
      <c r="M104" s="4">
        <v>3</v>
      </c>
      <c r="N104" s="4" t="s">
        <v>3</v>
      </c>
      <c r="O104" s="4">
        <v>2</v>
      </c>
      <c r="P104" s="4"/>
      <c r="Q104" s="4"/>
      <c r="R104" s="4"/>
      <c r="S104" s="4"/>
      <c r="T104" s="4"/>
      <c r="U104" s="4"/>
      <c r="V104" s="4"/>
      <c r="W104" s="4"/>
    </row>
    <row r="105" spans="1:23">
      <c r="A105" s="4">
        <v>50</v>
      </c>
      <c r="B105" s="4">
        <v>0</v>
      </c>
      <c r="C105" s="4">
        <v>0</v>
      </c>
      <c r="D105" s="4">
        <v>1</v>
      </c>
      <c r="E105" s="4">
        <v>230</v>
      </c>
      <c r="F105" s="4">
        <f>ROUND(Source!BA85,O105)</f>
        <v>0</v>
      </c>
      <c r="G105" s="4" t="s">
        <v>105</v>
      </c>
      <c r="H105" s="4" t="s">
        <v>106</v>
      </c>
      <c r="I105" s="4"/>
      <c r="J105" s="4"/>
      <c r="K105" s="4">
        <v>230</v>
      </c>
      <c r="L105" s="4">
        <v>19</v>
      </c>
      <c r="M105" s="4">
        <v>3</v>
      </c>
      <c r="N105" s="4" t="s">
        <v>3</v>
      </c>
      <c r="O105" s="4">
        <v>2</v>
      </c>
      <c r="P105" s="4"/>
      <c r="Q105" s="4"/>
      <c r="R105" s="4"/>
      <c r="S105" s="4"/>
      <c r="T105" s="4"/>
      <c r="U105" s="4"/>
      <c r="V105" s="4"/>
      <c r="W105" s="4"/>
    </row>
    <row r="106" spans="1:23">
      <c r="A106" s="4">
        <v>50</v>
      </c>
      <c r="B106" s="4">
        <v>0</v>
      </c>
      <c r="C106" s="4">
        <v>0</v>
      </c>
      <c r="D106" s="4">
        <v>1</v>
      </c>
      <c r="E106" s="4">
        <v>206</v>
      </c>
      <c r="F106" s="4">
        <f>ROUND(Source!T85,O106)</f>
        <v>0</v>
      </c>
      <c r="G106" s="4" t="s">
        <v>107</v>
      </c>
      <c r="H106" s="4" t="s">
        <v>108</v>
      </c>
      <c r="I106" s="4"/>
      <c r="J106" s="4"/>
      <c r="K106" s="4">
        <v>206</v>
      </c>
      <c r="L106" s="4">
        <v>20</v>
      </c>
      <c r="M106" s="4">
        <v>3</v>
      </c>
      <c r="N106" s="4" t="s">
        <v>3</v>
      </c>
      <c r="O106" s="4">
        <v>2</v>
      </c>
      <c r="P106" s="4"/>
      <c r="Q106" s="4"/>
      <c r="R106" s="4"/>
      <c r="S106" s="4"/>
      <c r="T106" s="4"/>
      <c r="U106" s="4"/>
      <c r="V106" s="4"/>
      <c r="W106" s="4"/>
    </row>
    <row r="107" spans="1:23">
      <c r="A107" s="4">
        <v>50</v>
      </c>
      <c r="B107" s="4">
        <v>0</v>
      </c>
      <c r="C107" s="4">
        <v>0</v>
      </c>
      <c r="D107" s="4">
        <v>1</v>
      </c>
      <c r="E107" s="4">
        <v>207</v>
      </c>
      <c r="F107" s="4">
        <f>Source!U85</f>
        <v>104.87190480000001</v>
      </c>
      <c r="G107" s="4" t="s">
        <v>109</v>
      </c>
      <c r="H107" s="4" t="s">
        <v>110</v>
      </c>
      <c r="I107" s="4"/>
      <c r="J107" s="4"/>
      <c r="K107" s="4">
        <v>207</v>
      </c>
      <c r="L107" s="4">
        <v>21</v>
      </c>
      <c r="M107" s="4">
        <v>3</v>
      </c>
      <c r="N107" s="4" t="s">
        <v>3</v>
      </c>
      <c r="O107" s="4">
        <v>-1</v>
      </c>
      <c r="P107" s="4"/>
      <c r="Q107" s="4"/>
      <c r="R107" s="4"/>
      <c r="S107" s="4"/>
      <c r="T107" s="4"/>
      <c r="U107" s="4"/>
      <c r="V107" s="4"/>
      <c r="W107" s="4"/>
    </row>
    <row r="108" spans="1:23">
      <c r="A108" s="4">
        <v>50</v>
      </c>
      <c r="B108" s="4">
        <v>0</v>
      </c>
      <c r="C108" s="4">
        <v>0</v>
      </c>
      <c r="D108" s="4">
        <v>1</v>
      </c>
      <c r="E108" s="4">
        <v>208</v>
      </c>
      <c r="F108" s="4">
        <f>Source!V85</f>
        <v>0</v>
      </c>
      <c r="G108" s="4" t="s">
        <v>111</v>
      </c>
      <c r="H108" s="4" t="s">
        <v>112</v>
      </c>
      <c r="I108" s="4"/>
      <c r="J108" s="4"/>
      <c r="K108" s="4">
        <v>208</v>
      </c>
      <c r="L108" s="4">
        <v>22</v>
      </c>
      <c r="M108" s="4">
        <v>3</v>
      </c>
      <c r="N108" s="4" t="s">
        <v>3</v>
      </c>
      <c r="O108" s="4">
        <v>-1</v>
      </c>
      <c r="P108" s="4"/>
      <c r="Q108" s="4"/>
      <c r="R108" s="4"/>
      <c r="S108" s="4"/>
      <c r="T108" s="4"/>
      <c r="U108" s="4"/>
      <c r="V108" s="4"/>
      <c r="W108" s="4"/>
    </row>
    <row r="109" spans="1:23">
      <c r="A109" s="4">
        <v>50</v>
      </c>
      <c r="B109" s="4">
        <v>0</v>
      </c>
      <c r="C109" s="4">
        <v>0</v>
      </c>
      <c r="D109" s="4">
        <v>1</v>
      </c>
      <c r="E109" s="4">
        <v>209</v>
      </c>
      <c r="F109" s="4">
        <f>ROUND(Source!W85,O109)</f>
        <v>0</v>
      </c>
      <c r="G109" s="4" t="s">
        <v>113</v>
      </c>
      <c r="H109" s="4" t="s">
        <v>114</v>
      </c>
      <c r="I109" s="4"/>
      <c r="J109" s="4"/>
      <c r="K109" s="4">
        <v>209</v>
      </c>
      <c r="L109" s="4">
        <v>23</v>
      </c>
      <c r="M109" s="4">
        <v>3</v>
      </c>
      <c r="N109" s="4" t="s">
        <v>3</v>
      </c>
      <c r="O109" s="4">
        <v>2</v>
      </c>
      <c r="P109" s="4"/>
      <c r="Q109" s="4"/>
      <c r="R109" s="4"/>
      <c r="S109" s="4"/>
      <c r="T109" s="4"/>
      <c r="U109" s="4"/>
      <c r="V109" s="4"/>
      <c r="W109" s="4"/>
    </row>
    <row r="110" spans="1:23">
      <c r="A110" s="4">
        <v>50</v>
      </c>
      <c r="B110" s="4">
        <v>0</v>
      </c>
      <c r="C110" s="4">
        <v>0</v>
      </c>
      <c r="D110" s="4">
        <v>1</v>
      </c>
      <c r="E110" s="4">
        <v>233</v>
      </c>
      <c r="F110" s="4">
        <f>ROUND(Source!BD85,O110)</f>
        <v>0</v>
      </c>
      <c r="G110" s="4" t="s">
        <v>115</v>
      </c>
      <c r="H110" s="4" t="s">
        <v>116</v>
      </c>
      <c r="I110" s="4"/>
      <c r="J110" s="4"/>
      <c r="K110" s="4">
        <v>233</v>
      </c>
      <c r="L110" s="4">
        <v>24</v>
      </c>
      <c r="M110" s="4">
        <v>3</v>
      </c>
      <c r="N110" s="4" t="s">
        <v>3</v>
      </c>
      <c r="O110" s="4">
        <v>2</v>
      </c>
      <c r="P110" s="4"/>
      <c r="Q110" s="4"/>
      <c r="R110" s="4"/>
      <c r="S110" s="4"/>
      <c r="T110" s="4"/>
      <c r="U110" s="4"/>
      <c r="V110" s="4"/>
      <c r="W110" s="4"/>
    </row>
    <row r="111" spans="1:23">
      <c r="A111" s="4">
        <v>50</v>
      </c>
      <c r="B111" s="4">
        <v>0</v>
      </c>
      <c r="C111" s="4">
        <v>0</v>
      </c>
      <c r="D111" s="4">
        <v>1</v>
      </c>
      <c r="E111" s="4">
        <v>210</v>
      </c>
      <c r="F111" s="4">
        <f>ROUND(Source!X85,O111)</f>
        <v>30024.9</v>
      </c>
      <c r="G111" s="4" t="s">
        <v>117</v>
      </c>
      <c r="H111" s="4" t="s">
        <v>118</v>
      </c>
      <c r="I111" s="4"/>
      <c r="J111" s="4"/>
      <c r="K111" s="4">
        <v>210</v>
      </c>
      <c r="L111" s="4">
        <v>25</v>
      </c>
      <c r="M111" s="4">
        <v>3</v>
      </c>
      <c r="N111" s="4" t="s">
        <v>3</v>
      </c>
      <c r="O111" s="4">
        <v>2</v>
      </c>
      <c r="P111" s="4"/>
      <c r="Q111" s="4"/>
      <c r="R111" s="4"/>
      <c r="S111" s="4"/>
      <c r="T111" s="4"/>
      <c r="U111" s="4"/>
      <c r="V111" s="4"/>
      <c r="W111" s="4"/>
    </row>
    <row r="112" spans="1:23">
      <c r="A112" s="4">
        <v>50</v>
      </c>
      <c r="B112" s="4">
        <v>0</v>
      </c>
      <c r="C112" s="4">
        <v>0</v>
      </c>
      <c r="D112" s="4">
        <v>1</v>
      </c>
      <c r="E112" s="4">
        <v>211</v>
      </c>
      <c r="F112" s="4">
        <f>ROUND(Source!Y85,O112)</f>
        <v>11888.37</v>
      </c>
      <c r="G112" s="4" t="s">
        <v>119</v>
      </c>
      <c r="H112" s="4" t="s">
        <v>120</v>
      </c>
      <c r="I112" s="4"/>
      <c r="J112" s="4"/>
      <c r="K112" s="4">
        <v>211</v>
      </c>
      <c r="L112" s="4">
        <v>26</v>
      </c>
      <c r="M112" s="4">
        <v>3</v>
      </c>
      <c r="N112" s="4" t="s">
        <v>3</v>
      </c>
      <c r="O112" s="4">
        <v>2</v>
      </c>
      <c r="P112" s="4"/>
      <c r="Q112" s="4"/>
      <c r="R112" s="4"/>
      <c r="S112" s="4"/>
      <c r="T112" s="4"/>
      <c r="U112" s="4"/>
      <c r="V112" s="4"/>
      <c r="W112" s="4"/>
    </row>
    <row r="113" spans="1:245">
      <c r="A113" s="4">
        <v>50</v>
      </c>
      <c r="B113" s="4">
        <v>0</v>
      </c>
      <c r="C113" s="4">
        <v>0</v>
      </c>
      <c r="D113" s="4">
        <v>1</v>
      </c>
      <c r="E113" s="4">
        <v>224</v>
      </c>
      <c r="F113" s="4">
        <f>ROUND(Source!AR85,O113)</f>
        <v>187903.82</v>
      </c>
      <c r="G113" s="4" t="s">
        <v>121</v>
      </c>
      <c r="H113" s="4" t="s">
        <v>122</v>
      </c>
      <c r="I113" s="4"/>
      <c r="J113" s="4"/>
      <c r="K113" s="4">
        <v>224</v>
      </c>
      <c r="L113" s="4">
        <v>27</v>
      </c>
      <c r="M113" s="4">
        <v>3</v>
      </c>
      <c r="N113" s="4" t="s">
        <v>3</v>
      </c>
      <c r="O113" s="4">
        <v>2</v>
      </c>
      <c r="P113" s="4"/>
      <c r="Q113" s="4"/>
      <c r="R113" s="4"/>
      <c r="S113" s="4"/>
      <c r="T113" s="4"/>
      <c r="U113" s="4"/>
      <c r="V113" s="4"/>
      <c r="W113" s="4"/>
    </row>
    <row r="115" spans="1:245">
      <c r="A115" s="1">
        <v>4</v>
      </c>
      <c r="B115" s="1">
        <v>1</v>
      </c>
      <c r="C115" s="1"/>
      <c r="D115" s="1">
        <f>ROW(A124)</f>
        <v>124</v>
      </c>
      <c r="E115" s="1"/>
      <c r="F115" s="1" t="s">
        <v>13</v>
      </c>
      <c r="G115" s="1" t="s">
        <v>152</v>
      </c>
      <c r="H115" s="1" t="s">
        <v>3</v>
      </c>
      <c r="I115" s="1">
        <v>0</v>
      </c>
      <c r="J115" s="1"/>
      <c r="K115" s="1">
        <v>0</v>
      </c>
      <c r="L115" s="1"/>
      <c r="M115" s="1"/>
      <c r="N115" s="1"/>
      <c r="O115" s="1"/>
      <c r="P115" s="1"/>
      <c r="Q115" s="1"/>
      <c r="R115" s="1"/>
      <c r="S115" s="1"/>
      <c r="T115" s="1"/>
      <c r="U115" s="1" t="s">
        <v>3</v>
      </c>
      <c r="V115" s="1">
        <v>0</v>
      </c>
      <c r="W115" s="1"/>
      <c r="X115" s="1"/>
      <c r="Y115" s="1"/>
      <c r="Z115" s="1"/>
      <c r="AA115" s="1"/>
      <c r="AB115" s="1" t="s">
        <v>3</v>
      </c>
      <c r="AC115" s="1" t="s">
        <v>3</v>
      </c>
      <c r="AD115" s="1" t="s">
        <v>3</v>
      </c>
      <c r="AE115" s="1" t="s">
        <v>3</v>
      </c>
      <c r="AF115" s="1" t="s">
        <v>3</v>
      </c>
      <c r="AG115" s="1" t="s">
        <v>3</v>
      </c>
      <c r="AH115" s="1"/>
      <c r="AI115" s="1"/>
      <c r="AJ115" s="1"/>
      <c r="AK115" s="1"/>
      <c r="AL115" s="1"/>
      <c r="AM115" s="1"/>
      <c r="AN115" s="1"/>
      <c r="AO115" s="1"/>
      <c r="AP115" s="1" t="s">
        <v>3</v>
      </c>
      <c r="AQ115" s="1" t="s">
        <v>3</v>
      </c>
      <c r="AR115" s="1" t="s">
        <v>3</v>
      </c>
      <c r="AS115" s="1"/>
      <c r="AT115" s="1"/>
      <c r="AU115" s="1"/>
      <c r="AV115" s="1"/>
      <c r="AW115" s="1"/>
      <c r="AX115" s="1"/>
      <c r="AY115" s="1"/>
      <c r="AZ115" s="1" t="s">
        <v>3</v>
      </c>
      <c r="BA115" s="1"/>
      <c r="BB115" s="1" t="s">
        <v>3</v>
      </c>
      <c r="BC115" s="1" t="s">
        <v>3</v>
      </c>
      <c r="BD115" s="1" t="s">
        <v>3</v>
      </c>
      <c r="BE115" s="1" t="s">
        <v>3</v>
      </c>
      <c r="BF115" s="1" t="s">
        <v>3</v>
      </c>
      <c r="BG115" s="1" t="s">
        <v>3</v>
      </c>
      <c r="BH115" s="1" t="s">
        <v>3</v>
      </c>
      <c r="BI115" s="1" t="s">
        <v>3</v>
      </c>
      <c r="BJ115" s="1" t="s">
        <v>3</v>
      </c>
      <c r="BK115" s="1" t="s">
        <v>3</v>
      </c>
      <c r="BL115" s="1" t="s">
        <v>3</v>
      </c>
      <c r="BM115" s="1" t="s">
        <v>3</v>
      </c>
      <c r="BN115" s="1" t="s">
        <v>3</v>
      </c>
      <c r="BO115" s="1" t="s">
        <v>3</v>
      </c>
      <c r="BP115" s="1" t="s">
        <v>3</v>
      </c>
      <c r="BQ115" s="1"/>
      <c r="BR115" s="1"/>
      <c r="BS115" s="1"/>
      <c r="BT115" s="1"/>
      <c r="BU115" s="1"/>
      <c r="BV115" s="1"/>
      <c r="BW115" s="1"/>
      <c r="BX115" s="1">
        <v>0</v>
      </c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>
        <v>0</v>
      </c>
    </row>
    <row r="117" spans="1:245">
      <c r="A117" s="2">
        <v>52</v>
      </c>
      <c r="B117" s="2">
        <f t="shared" ref="B117:G117" si="112">B124</f>
        <v>1</v>
      </c>
      <c r="C117" s="2">
        <f t="shared" si="112"/>
        <v>4</v>
      </c>
      <c r="D117" s="2">
        <f t="shared" si="112"/>
        <v>115</v>
      </c>
      <c r="E117" s="2">
        <f t="shared" si="112"/>
        <v>0</v>
      </c>
      <c r="F117" s="2" t="str">
        <f t="shared" si="112"/>
        <v>Новый раздел</v>
      </c>
      <c r="G117" s="2" t="str">
        <f t="shared" si="112"/>
        <v>28. Камень бортовой садовый</v>
      </c>
      <c r="H117" s="2"/>
      <c r="I117" s="2"/>
      <c r="J117" s="2"/>
      <c r="K117" s="2"/>
      <c r="L117" s="2"/>
      <c r="M117" s="2"/>
      <c r="N117" s="2"/>
      <c r="O117" s="2">
        <f t="shared" ref="O117:AT117" si="113">O124</f>
        <v>21310.34</v>
      </c>
      <c r="P117" s="2">
        <f t="shared" si="113"/>
        <v>11709.86</v>
      </c>
      <c r="Q117" s="2">
        <f t="shared" si="113"/>
        <v>325.74</v>
      </c>
      <c r="R117" s="2">
        <f t="shared" si="113"/>
        <v>139.97999999999999</v>
      </c>
      <c r="S117" s="2">
        <f t="shared" si="113"/>
        <v>9274.74</v>
      </c>
      <c r="T117" s="2">
        <f t="shared" si="113"/>
        <v>0</v>
      </c>
      <c r="U117" s="2">
        <f t="shared" si="113"/>
        <v>33.775839999999995</v>
      </c>
      <c r="V117" s="2">
        <f t="shared" si="113"/>
        <v>0</v>
      </c>
      <c r="W117" s="2">
        <f t="shared" si="113"/>
        <v>0</v>
      </c>
      <c r="X117" s="2">
        <f t="shared" si="113"/>
        <v>12149.91</v>
      </c>
      <c r="Y117" s="2">
        <f t="shared" si="113"/>
        <v>5008.3599999999997</v>
      </c>
      <c r="Z117" s="2">
        <f t="shared" si="113"/>
        <v>0</v>
      </c>
      <c r="AA117" s="2">
        <f t="shared" si="113"/>
        <v>0</v>
      </c>
      <c r="AB117" s="2">
        <f t="shared" si="113"/>
        <v>21310.34</v>
      </c>
      <c r="AC117" s="2">
        <f t="shared" si="113"/>
        <v>11709.86</v>
      </c>
      <c r="AD117" s="2">
        <f t="shared" si="113"/>
        <v>325.74</v>
      </c>
      <c r="AE117" s="2">
        <f t="shared" si="113"/>
        <v>139.97999999999999</v>
      </c>
      <c r="AF117" s="2">
        <f t="shared" si="113"/>
        <v>9274.74</v>
      </c>
      <c r="AG117" s="2">
        <f t="shared" si="113"/>
        <v>0</v>
      </c>
      <c r="AH117" s="2">
        <f t="shared" si="113"/>
        <v>33.775839999999995</v>
      </c>
      <c r="AI117" s="2">
        <f t="shared" si="113"/>
        <v>0</v>
      </c>
      <c r="AJ117" s="2">
        <f t="shared" si="113"/>
        <v>0</v>
      </c>
      <c r="AK117" s="2">
        <f t="shared" si="113"/>
        <v>12149.91</v>
      </c>
      <c r="AL117" s="2">
        <f t="shared" si="113"/>
        <v>5008.3599999999997</v>
      </c>
      <c r="AM117" s="2">
        <f t="shared" si="113"/>
        <v>0</v>
      </c>
      <c r="AN117" s="2">
        <f t="shared" si="113"/>
        <v>0</v>
      </c>
      <c r="AO117" s="2">
        <f t="shared" si="113"/>
        <v>0</v>
      </c>
      <c r="AP117" s="2">
        <f t="shared" si="113"/>
        <v>0</v>
      </c>
      <c r="AQ117" s="2">
        <f t="shared" si="113"/>
        <v>0</v>
      </c>
      <c r="AR117" s="2">
        <f t="shared" si="113"/>
        <v>38688.370000000003</v>
      </c>
      <c r="AS117" s="2">
        <f t="shared" si="113"/>
        <v>38688.370000000003</v>
      </c>
      <c r="AT117" s="2">
        <f t="shared" si="113"/>
        <v>0</v>
      </c>
      <c r="AU117" s="2">
        <f t="shared" ref="AU117:BZ117" si="114">AU124</f>
        <v>0</v>
      </c>
      <c r="AV117" s="2">
        <f t="shared" si="114"/>
        <v>11709.86</v>
      </c>
      <c r="AW117" s="2">
        <f t="shared" si="114"/>
        <v>11709.86</v>
      </c>
      <c r="AX117" s="2">
        <f t="shared" si="114"/>
        <v>0</v>
      </c>
      <c r="AY117" s="2">
        <f t="shared" si="114"/>
        <v>11709.86</v>
      </c>
      <c r="AZ117" s="2">
        <f t="shared" si="114"/>
        <v>0</v>
      </c>
      <c r="BA117" s="2">
        <f t="shared" si="114"/>
        <v>0</v>
      </c>
      <c r="BB117" s="2">
        <f t="shared" si="114"/>
        <v>0</v>
      </c>
      <c r="BC117" s="2">
        <f t="shared" si="114"/>
        <v>0</v>
      </c>
      <c r="BD117" s="2">
        <f t="shared" si="114"/>
        <v>0</v>
      </c>
      <c r="BE117" s="2">
        <f t="shared" si="114"/>
        <v>0</v>
      </c>
      <c r="BF117" s="2">
        <f t="shared" si="114"/>
        <v>0</v>
      </c>
      <c r="BG117" s="2">
        <f t="shared" si="114"/>
        <v>0</v>
      </c>
      <c r="BH117" s="2">
        <f t="shared" si="114"/>
        <v>0</v>
      </c>
      <c r="BI117" s="2">
        <f t="shared" si="114"/>
        <v>0</v>
      </c>
      <c r="BJ117" s="2">
        <f t="shared" si="114"/>
        <v>0</v>
      </c>
      <c r="BK117" s="2">
        <f t="shared" si="114"/>
        <v>0</v>
      </c>
      <c r="BL117" s="2">
        <f t="shared" si="114"/>
        <v>0</v>
      </c>
      <c r="BM117" s="2">
        <f t="shared" si="114"/>
        <v>0</v>
      </c>
      <c r="BN117" s="2">
        <f t="shared" si="114"/>
        <v>0</v>
      </c>
      <c r="BO117" s="2">
        <f t="shared" si="114"/>
        <v>0</v>
      </c>
      <c r="BP117" s="2">
        <f t="shared" si="114"/>
        <v>0</v>
      </c>
      <c r="BQ117" s="2">
        <f t="shared" si="114"/>
        <v>0</v>
      </c>
      <c r="BR117" s="2">
        <f t="shared" si="114"/>
        <v>0</v>
      </c>
      <c r="BS117" s="2">
        <f t="shared" si="114"/>
        <v>0</v>
      </c>
      <c r="BT117" s="2">
        <f t="shared" si="114"/>
        <v>0</v>
      </c>
      <c r="BU117" s="2">
        <f t="shared" si="114"/>
        <v>0</v>
      </c>
      <c r="BV117" s="2">
        <f t="shared" si="114"/>
        <v>0</v>
      </c>
      <c r="BW117" s="2">
        <f t="shared" si="114"/>
        <v>0</v>
      </c>
      <c r="BX117" s="2">
        <f t="shared" si="114"/>
        <v>0</v>
      </c>
      <c r="BY117" s="2">
        <f t="shared" si="114"/>
        <v>0</v>
      </c>
      <c r="BZ117" s="2">
        <f t="shared" si="114"/>
        <v>0</v>
      </c>
      <c r="CA117" s="2">
        <f t="shared" ref="CA117:DF117" si="115">CA124</f>
        <v>38688.370000000003</v>
      </c>
      <c r="CB117" s="2">
        <f t="shared" si="115"/>
        <v>38688.370000000003</v>
      </c>
      <c r="CC117" s="2">
        <f t="shared" si="115"/>
        <v>0</v>
      </c>
      <c r="CD117" s="2">
        <f t="shared" si="115"/>
        <v>0</v>
      </c>
      <c r="CE117" s="2">
        <f t="shared" si="115"/>
        <v>11709.86</v>
      </c>
      <c r="CF117" s="2">
        <f t="shared" si="115"/>
        <v>11709.86</v>
      </c>
      <c r="CG117" s="2">
        <f t="shared" si="115"/>
        <v>0</v>
      </c>
      <c r="CH117" s="2">
        <f t="shared" si="115"/>
        <v>11709.86</v>
      </c>
      <c r="CI117" s="2">
        <f t="shared" si="115"/>
        <v>0</v>
      </c>
      <c r="CJ117" s="2">
        <f t="shared" si="115"/>
        <v>0</v>
      </c>
      <c r="CK117" s="2">
        <f t="shared" si="115"/>
        <v>0</v>
      </c>
      <c r="CL117" s="2">
        <f t="shared" si="115"/>
        <v>0</v>
      </c>
      <c r="CM117" s="2">
        <f t="shared" si="115"/>
        <v>0</v>
      </c>
      <c r="CN117" s="2">
        <f t="shared" si="115"/>
        <v>0</v>
      </c>
      <c r="CO117" s="2">
        <f t="shared" si="115"/>
        <v>0</v>
      </c>
      <c r="CP117" s="2">
        <f t="shared" si="115"/>
        <v>0</v>
      </c>
      <c r="CQ117" s="2">
        <f t="shared" si="115"/>
        <v>0</v>
      </c>
      <c r="CR117" s="2">
        <f t="shared" si="115"/>
        <v>0</v>
      </c>
      <c r="CS117" s="2">
        <f t="shared" si="115"/>
        <v>0</v>
      </c>
      <c r="CT117" s="2">
        <f t="shared" si="115"/>
        <v>0</v>
      </c>
      <c r="CU117" s="2">
        <f t="shared" si="115"/>
        <v>0</v>
      </c>
      <c r="CV117" s="2">
        <f t="shared" si="115"/>
        <v>0</v>
      </c>
      <c r="CW117" s="2">
        <f t="shared" si="115"/>
        <v>0</v>
      </c>
      <c r="CX117" s="2">
        <f t="shared" si="115"/>
        <v>0</v>
      </c>
      <c r="CY117" s="2">
        <f t="shared" si="115"/>
        <v>0</v>
      </c>
      <c r="CZ117" s="2">
        <f t="shared" si="115"/>
        <v>0</v>
      </c>
      <c r="DA117" s="2">
        <f t="shared" si="115"/>
        <v>0</v>
      </c>
      <c r="DB117" s="2">
        <f t="shared" si="115"/>
        <v>0</v>
      </c>
      <c r="DC117" s="2">
        <f t="shared" si="115"/>
        <v>0</v>
      </c>
      <c r="DD117" s="2">
        <f t="shared" si="115"/>
        <v>0</v>
      </c>
      <c r="DE117" s="2">
        <f t="shared" si="115"/>
        <v>0</v>
      </c>
      <c r="DF117" s="2">
        <f t="shared" si="115"/>
        <v>0</v>
      </c>
      <c r="DG117" s="3">
        <f t="shared" ref="DG117:EL117" si="116">DG124</f>
        <v>0</v>
      </c>
      <c r="DH117" s="3">
        <f t="shared" si="116"/>
        <v>0</v>
      </c>
      <c r="DI117" s="3">
        <f t="shared" si="116"/>
        <v>0</v>
      </c>
      <c r="DJ117" s="3">
        <f t="shared" si="116"/>
        <v>0</v>
      </c>
      <c r="DK117" s="3">
        <f t="shared" si="116"/>
        <v>0</v>
      </c>
      <c r="DL117" s="3">
        <f t="shared" si="116"/>
        <v>0</v>
      </c>
      <c r="DM117" s="3">
        <f t="shared" si="116"/>
        <v>0</v>
      </c>
      <c r="DN117" s="3">
        <f t="shared" si="116"/>
        <v>0</v>
      </c>
      <c r="DO117" s="3">
        <f t="shared" si="116"/>
        <v>0</v>
      </c>
      <c r="DP117" s="3">
        <f t="shared" si="116"/>
        <v>0</v>
      </c>
      <c r="DQ117" s="3">
        <f t="shared" si="116"/>
        <v>0</v>
      </c>
      <c r="DR117" s="3">
        <f t="shared" si="116"/>
        <v>0</v>
      </c>
      <c r="DS117" s="3">
        <f t="shared" si="116"/>
        <v>0</v>
      </c>
      <c r="DT117" s="3">
        <f t="shared" si="116"/>
        <v>0</v>
      </c>
      <c r="DU117" s="3">
        <f t="shared" si="116"/>
        <v>0</v>
      </c>
      <c r="DV117" s="3">
        <f t="shared" si="116"/>
        <v>0</v>
      </c>
      <c r="DW117" s="3">
        <f t="shared" si="116"/>
        <v>0</v>
      </c>
      <c r="DX117" s="3">
        <f t="shared" si="116"/>
        <v>0</v>
      </c>
      <c r="DY117" s="3">
        <f t="shared" si="116"/>
        <v>0</v>
      </c>
      <c r="DZ117" s="3">
        <f t="shared" si="116"/>
        <v>0</v>
      </c>
      <c r="EA117" s="3">
        <f t="shared" si="116"/>
        <v>0</v>
      </c>
      <c r="EB117" s="3">
        <f t="shared" si="116"/>
        <v>0</v>
      </c>
      <c r="EC117" s="3">
        <f t="shared" si="116"/>
        <v>0</v>
      </c>
      <c r="ED117" s="3">
        <f t="shared" si="116"/>
        <v>0</v>
      </c>
      <c r="EE117" s="3">
        <f t="shared" si="116"/>
        <v>0</v>
      </c>
      <c r="EF117" s="3">
        <f t="shared" si="116"/>
        <v>0</v>
      </c>
      <c r="EG117" s="3">
        <f t="shared" si="116"/>
        <v>0</v>
      </c>
      <c r="EH117" s="3">
        <f t="shared" si="116"/>
        <v>0</v>
      </c>
      <c r="EI117" s="3">
        <f t="shared" si="116"/>
        <v>0</v>
      </c>
      <c r="EJ117" s="3">
        <f t="shared" si="116"/>
        <v>0</v>
      </c>
      <c r="EK117" s="3">
        <f t="shared" si="116"/>
        <v>0</v>
      </c>
      <c r="EL117" s="3">
        <f t="shared" si="116"/>
        <v>0</v>
      </c>
      <c r="EM117" s="3">
        <f t="shared" ref="EM117:FR117" si="117">EM124</f>
        <v>0</v>
      </c>
      <c r="EN117" s="3">
        <f t="shared" si="117"/>
        <v>0</v>
      </c>
      <c r="EO117" s="3">
        <f t="shared" si="117"/>
        <v>0</v>
      </c>
      <c r="EP117" s="3">
        <f t="shared" si="117"/>
        <v>0</v>
      </c>
      <c r="EQ117" s="3">
        <f t="shared" si="117"/>
        <v>0</v>
      </c>
      <c r="ER117" s="3">
        <f t="shared" si="117"/>
        <v>0</v>
      </c>
      <c r="ES117" s="3">
        <f t="shared" si="117"/>
        <v>0</v>
      </c>
      <c r="ET117" s="3">
        <f t="shared" si="117"/>
        <v>0</v>
      </c>
      <c r="EU117" s="3">
        <f t="shared" si="117"/>
        <v>0</v>
      </c>
      <c r="EV117" s="3">
        <f t="shared" si="117"/>
        <v>0</v>
      </c>
      <c r="EW117" s="3">
        <f t="shared" si="117"/>
        <v>0</v>
      </c>
      <c r="EX117" s="3">
        <f t="shared" si="117"/>
        <v>0</v>
      </c>
      <c r="EY117" s="3">
        <f t="shared" si="117"/>
        <v>0</v>
      </c>
      <c r="EZ117" s="3">
        <f t="shared" si="117"/>
        <v>0</v>
      </c>
      <c r="FA117" s="3">
        <f t="shared" si="117"/>
        <v>0</v>
      </c>
      <c r="FB117" s="3">
        <f t="shared" si="117"/>
        <v>0</v>
      </c>
      <c r="FC117" s="3">
        <f t="shared" si="117"/>
        <v>0</v>
      </c>
      <c r="FD117" s="3">
        <f t="shared" si="117"/>
        <v>0</v>
      </c>
      <c r="FE117" s="3">
        <f t="shared" si="117"/>
        <v>0</v>
      </c>
      <c r="FF117" s="3">
        <f t="shared" si="117"/>
        <v>0</v>
      </c>
      <c r="FG117" s="3">
        <f t="shared" si="117"/>
        <v>0</v>
      </c>
      <c r="FH117" s="3">
        <f t="shared" si="117"/>
        <v>0</v>
      </c>
      <c r="FI117" s="3">
        <f t="shared" si="117"/>
        <v>0</v>
      </c>
      <c r="FJ117" s="3">
        <f t="shared" si="117"/>
        <v>0</v>
      </c>
      <c r="FK117" s="3">
        <f t="shared" si="117"/>
        <v>0</v>
      </c>
      <c r="FL117" s="3">
        <f t="shared" si="117"/>
        <v>0</v>
      </c>
      <c r="FM117" s="3">
        <f t="shared" si="117"/>
        <v>0</v>
      </c>
      <c r="FN117" s="3">
        <f t="shared" si="117"/>
        <v>0</v>
      </c>
      <c r="FO117" s="3">
        <f t="shared" si="117"/>
        <v>0</v>
      </c>
      <c r="FP117" s="3">
        <f t="shared" si="117"/>
        <v>0</v>
      </c>
      <c r="FQ117" s="3">
        <f t="shared" si="117"/>
        <v>0</v>
      </c>
      <c r="FR117" s="3">
        <f t="shared" si="117"/>
        <v>0</v>
      </c>
      <c r="FS117" s="3">
        <f t="shared" ref="FS117:GX117" si="118">FS124</f>
        <v>0</v>
      </c>
      <c r="FT117" s="3">
        <f t="shared" si="118"/>
        <v>0</v>
      </c>
      <c r="FU117" s="3">
        <f t="shared" si="118"/>
        <v>0</v>
      </c>
      <c r="FV117" s="3">
        <f t="shared" si="118"/>
        <v>0</v>
      </c>
      <c r="FW117" s="3">
        <f t="shared" si="118"/>
        <v>0</v>
      </c>
      <c r="FX117" s="3">
        <f t="shared" si="118"/>
        <v>0</v>
      </c>
      <c r="FY117" s="3">
        <f t="shared" si="118"/>
        <v>0</v>
      </c>
      <c r="FZ117" s="3">
        <f t="shared" si="118"/>
        <v>0</v>
      </c>
      <c r="GA117" s="3">
        <f t="shared" si="118"/>
        <v>0</v>
      </c>
      <c r="GB117" s="3">
        <f t="shared" si="118"/>
        <v>0</v>
      </c>
      <c r="GC117" s="3">
        <f t="shared" si="118"/>
        <v>0</v>
      </c>
      <c r="GD117" s="3">
        <f t="shared" si="118"/>
        <v>0</v>
      </c>
      <c r="GE117" s="3">
        <f t="shared" si="118"/>
        <v>0</v>
      </c>
      <c r="GF117" s="3">
        <f t="shared" si="118"/>
        <v>0</v>
      </c>
      <c r="GG117" s="3">
        <f t="shared" si="118"/>
        <v>0</v>
      </c>
      <c r="GH117" s="3">
        <f t="shared" si="118"/>
        <v>0</v>
      </c>
      <c r="GI117" s="3">
        <f t="shared" si="118"/>
        <v>0</v>
      </c>
      <c r="GJ117" s="3">
        <f t="shared" si="118"/>
        <v>0</v>
      </c>
      <c r="GK117" s="3">
        <f t="shared" si="118"/>
        <v>0</v>
      </c>
      <c r="GL117" s="3">
        <f t="shared" si="118"/>
        <v>0</v>
      </c>
      <c r="GM117" s="3">
        <f t="shared" si="118"/>
        <v>0</v>
      </c>
      <c r="GN117" s="3">
        <f t="shared" si="118"/>
        <v>0</v>
      </c>
      <c r="GO117" s="3">
        <f t="shared" si="118"/>
        <v>0</v>
      </c>
      <c r="GP117" s="3">
        <f t="shared" si="118"/>
        <v>0</v>
      </c>
      <c r="GQ117" s="3">
        <f t="shared" si="118"/>
        <v>0</v>
      </c>
      <c r="GR117" s="3">
        <f t="shared" si="118"/>
        <v>0</v>
      </c>
      <c r="GS117" s="3">
        <f t="shared" si="118"/>
        <v>0</v>
      </c>
      <c r="GT117" s="3">
        <f t="shared" si="118"/>
        <v>0</v>
      </c>
      <c r="GU117" s="3">
        <f t="shared" si="118"/>
        <v>0</v>
      </c>
      <c r="GV117" s="3">
        <f t="shared" si="118"/>
        <v>0</v>
      </c>
      <c r="GW117" s="3">
        <f t="shared" si="118"/>
        <v>0</v>
      </c>
      <c r="GX117" s="3">
        <f t="shared" si="118"/>
        <v>0</v>
      </c>
    </row>
    <row r="119" spans="1:245">
      <c r="A119">
        <v>17</v>
      </c>
      <c r="B119">
        <v>1</v>
      </c>
      <c r="C119">
        <f>ROW(SmtRes!A69)</f>
        <v>69</v>
      </c>
      <c r="D119">
        <f>ROW(EtalonRes!A69)</f>
        <v>69</v>
      </c>
      <c r="E119" t="s">
        <v>153</v>
      </c>
      <c r="F119" t="s">
        <v>38</v>
      </c>
      <c r="G119" t="s">
        <v>39</v>
      </c>
      <c r="H119" t="s">
        <v>40</v>
      </c>
      <c r="I119">
        <f>ROUND(53*0.2*0.1/100,9)</f>
        <v>1.06E-2</v>
      </c>
      <c r="J119">
        <v>0</v>
      </c>
      <c r="O119">
        <f>ROUND(CP119,2)</f>
        <v>110.43</v>
      </c>
      <c r="P119">
        <f>ROUND((ROUND((AC119*AW119*I119),2)*BC119),2)</f>
        <v>1.85</v>
      </c>
      <c r="Q119">
        <f>(ROUND((ROUND(((ET119)*AV119*I119),2)*BB119),2)+ROUND((ROUND(((AE119-(EU119))*AV119*I119),2)*BS119),2))</f>
        <v>68.62</v>
      </c>
      <c r="R119">
        <f>ROUND((ROUND((AE119*AV119*I119),2)*BS119),2)</f>
        <v>31.27</v>
      </c>
      <c r="S119">
        <f>ROUND((ROUND((AF119*AV119*I119),2)*BA119),2)</f>
        <v>39.96</v>
      </c>
      <c r="T119">
        <f>ROUND(CU119*I119,2)</f>
        <v>0</v>
      </c>
      <c r="U119">
        <f>CV119*I119</f>
        <v>0.15264</v>
      </c>
      <c r="V119">
        <f>CW119*I119</f>
        <v>0</v>
      </c>
      <c r="W119">
        <f>ROUND(CX119*I119,2)</f>
        <v>0</v>
      </c>
      <c r="X119">
        <f t="shared" ref="X119:Y122" si="119">ROUND(CY119,2)</f>
        <v>52.35</v>
      </c>
      <c r="Y119">
        <f t="shared" si="119"/>
        <v>21.58</v>
      </c>
      <c r="AA119">
        <v>33985563</v>
      </c>
      <c r="AB119">
        <f>ROUND((AC119+AD119+AF119),6)</f>
        <v>863.31</v>
      </c>
      <c r="AC119">
        <f>ROUND((ES119),6)</f>
        <v>35.35</v>
      </c>
      <c r="AD119">
        <f>ROUND((((ET119)-(EU119))+AE119),6)</f>
        <v>676.47</v>
      </c>
      <c r="AE119">
        <f t="shared" ref="AE119:AF122" si="120">ROUND((EU119),6)</f>
        <v>119.05</v>
      </c>
      <c r="AF119">
        <f t="shared" si="120"/>
        <v>151.49</v>
      </c>
      <c r="AG119">
        <f>ROUND((AP119),6)</f>
        <v>0</v>
      </c>
      <c r="AH119">
        <f t="shared" ref="AH119:AI122" si="121">(EW119)</f>
        <v>14.4</v>
      </c>
      <c r="AI119">
        <f t="shared" si="121"/>
        <v>0</v>
      </c>
      <c r="AJ119">
        <f>(AS119)</f>
        <v>0</v>
      </c>
      <c r="AK119">
        <v>863.31</v>
      </c>
      <c r="AL119">
        <v>35.35</v>
      </c>
      <c r="AM119">
        <v>676.47</v>
      </c>
      <c r="AN119">
        <v>119.05</v>
      </c>
      <c r="AO119">
        <v>151.49</v>
      </c>
      <c r="AP119">
        <v>0</v>
      </c>
      <c r="AQ119">
        <v>14.4</v>
      </c>
      <c r="AR119">
        <v>0</v>
      </c>
      <c r="AS119">
        <v>0</v>
      </c>
      <c r="AT119">
        <v>131</v>
      </c>
      <c r="AU119">
        <v>54</v>
      </c>
      <c r="AV119">
        <v>1</v>
      </c>
      <c r="AW119">
        <v>1</v>
      </c>
      <c r="AZ119">
        <v>1</v>
      </c>
      <c r="BA119">
        <v>24.82</v>
      </c>
      <c r="BB119">
        <v>9.57</v>
      </c>
      <c r="BC119">
        <v>4.99</v>
      </c>
      <c r="BD119" t="s">
        <v>3</v>
      </c>
      <c r="BE119" t="s">
        <v>3</v>
      </c>
      <c r="BF119" t="s">
        <v>3</v>
      </c>
      <c r="BG119" t="s">
        <v>3</v>
      </c>
      <c r="BH119">
        <v>0</v>
      </c>
      <c r="BI119">
        <v>1</v>
      </c>
      <c r="BJ119" t="s">
        <v>41</v>
      </c>
      <c r="BM119">
        <v>146</v>
      </c>
      <c r="BN119">
        <v>0</v>
      </c>
      <c r="BO119" t="s">
        <v>38</v>
      </c>
      <c r="BP119">
        <v>1</v>
      </c>
      <c r="BQ119">
        <v>30</v>
      </c>
      <c r="BR119">
        <v>0</v>
      </c>
      <c r="BS119">
        <v>24.82</v>
      </c>
      <c r="BT119">
        <v>1</v>
      </c>
      <c r="BU119">
        <v>1</v>
      </c>
      <c r="BV119">
        <v>1</v>
      </c>
      <c r="BW119">
        <v>1</v>
      </c>
      <c r="BX119">
        <v>1</v>
      </c>
      <c r="BY119" t="s">
        <v>3</v>
      </c>
      <c r="BZ119">
        <v>131</v>
      </c>
      <c r="CA119">
        <v>54</v>
      </c>
      <c r="CE119">
        <v>30</v>
      </c>
      <c r="CF119">
        <v>0</v>
      </c>
      <c r="CG119">
        <v>0</v>
      </c>
      <c r="CM119">
        <v>0</v>
      </c>
      <c r="CN119" t="s">
        <v>3</v>
      </c>
      <c r="CO119">
        <v>0</v>
      </c>
      <c r="CP119">
        <f>(P119+Q119+S119)</f>
        <v>110.43</v>
      </c>
      <c r="CQ119">
        <f>ROUND((ROUND((AC119*AW119*1),2)*BC119),2)</f>
        <v>176.4</v>
      </c>
      <c r="CR119">
        <f>(ROUND((ROUND(((ET119)*AV119*1),2)*BB119),2)+ROUND((ROUND(((AE119-(EU119))*AV119*1),2)*BS119),2))</f>
        <v>6473.82</v>
      </c>
      <c r="CS119">
        <f>ROUND((ROUND((AE119*AV119*1),2)*BS119),2)</f>
        <v>2954.82</v>
      </c>
      <c r="CT119">
        <f>ROUND((ROUND((AF119*AV119*1),2)*BA119),2)</f>
        <v>3759.98</v>
      </c>
      <c r="CU119">
        <f>AG119</f>
        <v>0</v>
      </c>
      <c r="CV119">
        <f>(AH119*AV119)</f>
        <v>14.4</v>
      </c>
      <c r="CW119">
        <f t="shared" ref="CW119:CX122" si="122">AI119</f>
        <v>0</v>
      </c>
      <c r="CX119">
        <f t="shared" si="122"/>
        <v>0</v>
      </c>
      <c r="CY119">
        <f>S119*(BZ119/100)</f>
        <v>52.3476</v>
      </c>
      <c r="CZ119">
        <f>S119*(CA119/100)</f>
        <v>21.578400000000002</v>
      </c>
      <c r="DC119" t="s">
        <v>3</v>
      </c>
      <c r="DD119" t="s">
        <v>3</v>
      </c>
      <c r="DE119" t="s">
        <v>3</v>
      </c>
      <c r="DF119" t="s">
        <v>3</v>
      </c>
      <c r="DG119" t="s">
        <v>3</v>
      </c>
      <c r="DH119" t="s">
        <v>3</v>
      </c>
      <c r="DI119" t="s">
        <v>3</v>
      </c>
      <c r="DJ119" t="s">
        <v>3</v>
      </c>
      <c r="DK119" t="s">
        <v>3</v>
      </c>
      <c r="DL119" t="s">
        <v>3</v>
      </c>
      <c r="DM119" t="s">
        <v>3</v>
      </c>
      <c r="DN119">
        <v>161</v>
      </c>
      <c r="DO119">
        <v>107</v>
      </c>
      <c r="DP119">
        <v>1</v>
      </c>
      <c r="DQ119">
        <v>1</v>
      </c>
      <c r="DU119">
        <v>1013</v>
      </c>
      <c r="DV119" t="s">
        <v>40</v>
      </c>
      <c r="DW119" t="s">
        <v>40</v>
      </c>
      <c r="DX119">
        <v>1</v>
      </c>
      <c r="EE119">
        <v>33795580</v>
      </c>
      <c r="EF119">
        <v>30</v>
      </c>
      <c r="EG119" t="s">
        <v>20</v>
      </c>
      <c r="EH119">
        <v>0</v>
      </c>
      <c r="EI119" t="s">
        <v>3</v>
      </c>
      <c r="EJ119">
        <v>1</v>
      </c>
      <c r="EK119">
        <v>146</v>
      </c>
      <c r="EL119" t="s">
        <v>42</v>
      </c>
      <c r="EM119" t="s">
        <v>43</v>
      </c>
      <c r="EO119" t="s">
        <v>3</v>
      </c>
      <c r="EQ119">
        <v>131072</v>
      </c>
      <c r="ER119">
        <v>863.31</v>
      </c>
      <c r="ES119">
        <v>35.35</v>
      </c>
      <c r="ET119">
        <v>676.47</v>
      </c>
      <c r="EU119">
        <v>119.05</v>
      </c>
      <c r="EV119">
        <v>151.49</v>
      </c>
      <c r="EW119">
        <v>14.4</v>
      </c>
      <c r="EX119">
        <v>0</v>
      </c>
      <c r="EY119">
        <v>0</v>
      </c>
      <c r="FQ119">
        <v>0</v>
      </c>
      <c r="FR119">
        <f>ROUND(IF(AND(BH119=3,BI119=3),P119,0),2)</f>
        <v>0</v>
      </c>
      <c r="FS119">
        <v>0</v>
      </c>
      <c r="FX119">
        <v>161</v>
      </c>
      <c r="FY119">
        <v>107</v>
      </c>
      <c r="GA119" t="s">
        <v>3</v>
      </c>
      <c r="GD119">
        <v>0</v>
      </c>
      <c r="GF119">
        <v>-1939963274</v>
      </c>
      <c r="GG119">
        <v>2</v>
      </c>
      <c r="GH119">
        <v>1</v>
      </c>
      <c r="GI119">
        <v>2</v>
      </c>
      <c r="GJ119">
        <v>0</v>
      </c>
      <c r="GK119">
        <f>ROUND(R119*(R12)/100,2)</f>
        <v>49.09</v>
      </c>
      <c r="GL119">
        <f>ROUND(IF(AND(BH119=3,BI119=3,FS119&lt;&gt;0),P119,0),2)</f>
        <v>0</v>
      </c>
      <c r="GM119">
        <f>ROUND(O119+X119+Y119+GK119,2)+GX119</f>
        <v>233.45</v>
      </c>
      <c r="GN119">
        <f>IF(OR(BI119=0,BI119=1),ROUND(O119+X119+Y119+GK119,2),0)</f>
        <v>233.45</v>
      </c>
      <c r="GO119">
        <f>IF(BI119=2,ROUND(O119+X119+Y119+GK119,2),0)</f>
        <v>0</v>
      </c>
      <c r="GP119">
        <f>IF(BI119=4,ROUND(O119+X119+Y119+GK119,2)+GX119,0)</f>
        <v>0</v>
      </c>
      <c r="GR119">
        <v>0</v>
      </c>
      <c r="GS119">
        <v>0</v>
      </c>
      <c r="GT119">
        <v>0</v>
      </c>
      <c r="GU119" t="s">
        <v>3</v>
      </c>
      <c r="GV119">
        <f>ROUND((GT119),6)</f>
        <v>0</v>
      </c>
      <c r="GW119">
        <v>1</v>
      </c>
      <c r="GX119">
        <f>ROUND(HC119*I119,2)</f>
        <v>0</v>
      </c>
      <c r="HA119">
        <v>0</v>
      </c>
      <c r="HB119">
        <v>0</v>
      </c>
      <c r="HC119">
        <f>GV119*GW119</f>
        <v>0</v>
      </c>
      <c r="IK119">
        <v>0</v>
      </c>
    </row>
    <row r="120" spans="1:245">
      <c r="A120">
        <v>18</v>
      </c>
      <c r="B120">
        <v>1</v>
      </c>
      <c r="C120">
        <v>69</v>
      </c>
      <c r="E120" t="s">
        <v>154</v>
      </c>
      <c r="F120" t="s">
        <v>45</v>
      </c>
      <c r="G120" t="s">
        <v>46</v>
      </c>
      <c r="H120" t="s">
        <v>47</v>
      </c>
      <c r="I120">
        <f>I119*J120</f>
        <v>1.1659999999999999</v>
      </c>
      <c r="J120">
        <v>109.99999999999999</v>
      </c>
      <c r="O120">
        <f>ROUND(CP120,2)</f>
        <v>643.92999999999995</v>
      </c>
      <c r="P120">
        <f>ROUND((ROUND((AC120*AW120*I120),2)*BC120),2)</f>
        <v>643.92999999999995</v>
      </c>
      <c r="Q120">
        <f>(ROUND((ROUND(((ET120)*AV120*I120),2)*BB120),2)+ROUND((ROUND(((AE120-(EU120))*AV120*I120),2)*BS120),2))</f>
        <v>0</v>
      </c>
      <c r="R120">
        <f>ROUND((ROUND((AE120*AV120*I120),2)*BS120),2)</f>
        <v>0</v>
      </c>
      <c r="S120">
        <f>ROUND((ROUND((AF120*AV120*I120),2)*BA120),2)</f>
        <v>0</v>
      </c>
      <c r="T120">
        <f>ROUND(CU120*I120,2)</f>
        <v>0</v>
      </c>
      <c r="U120">
        <f>CV120*I120</f>
        <v>0</v>
      </c>
      <c r="V120">
        <f>CW120*I120</f>
        <v>0</v>
      </c>
      <c r="W120">
        <f>ROUND(CX120*I120,2)</f>
        <v>0</v>
      </c>
      <c r="X120">
        <f t="shared" si="119"/>
        <v>0</v>
      </c>
      <c r="Y120">
        <f t="shared" si="119"/>
        <v>0</v>
      </c>
      <c r="AA120">
        <v>33985563</v>
      </c>
      <c r="AB120">
        <f>ROUND((AC120+AD120+AF120),6)</f>
        <v>104.99</v>
      </c>
      <c r="AC120">
        <f>ROUND((ES120),6)</f>
        <v>104.99</v>
      </c>
      <c r="AD120">
        <f>ROUND((((ET120)-(EU120))+AE120),6)</f>
        <v>0</v>
      </c>
      <c r="AE120">
        <f t="shared" si="120"/>
        <v>0</v>
      </c>
      <c r="AF120">
        <f t="shared" si="120"/>
        <v>0</v>
      </c>
      <c r="AG120">
        <f>ROUND((AP120),6)</f>
        <v>0</v>
      </c>
      <c r="AH120">
        <f t="shared" si="121"/>
        <v>0</v>
      </c>
      <c r="AI120">
        <f t="shared" si="121"/>
        <v>0</v>
      </c>
      <c r="AJ120">
        <f>(AS120)</f>
        <v>0</v>
      </c>
      <c r="AK120">
        <v>104.99</v>
      </c>
      <c r="AL120">
        <v>104.99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1</v>
      </c>
      <c r="AW120">
        <v>1</v>
      </c>
      <c r="AZ120">
        <v>1</v>
      </c>
      <c r="BA120">
        <v>1</v>
      </c>
      <c r="BB120">
        <v>1</v>
      </c>
      <c r="BC120">
        <v>5.26</v>
      </c>
      <c r="BD120" t="s">
        <v>3</v>
      </c>
      <c r="BE120" t="s">
        <v>3</v>
      </c>
      <c r="BF120" t="s">
        <v>3</v>
      </c>
      <c r="BG120" t="s">
        <v>3</v>
      </c>
      <c r="BH120">
        <v>3</v>
      </c>
      <c r="BI120">
        <v>1</v>
      </c>
      <c r="BJ120" t="s">
        <v>48</v>
      </c>
      <c r="BM120">
        <v>146</v>
      </c>
      <c r="BN120">
        <v>0</v>
      </c>
      <c r="BO120" t="s">
        <v>45</v>
      </c>
      <c r="BP120">
        <v>1</v>
      </c>
      <c r="BQ120">
        <v>30</v>
      </c>
      <c r="BR120">
        <v>0</v>
      </c>
      <c r="BS120">
        <v>1</v>
      </c>
      <c r="BT120">
        <v>1</v>
      </c>
      <c r="BU120">
        <v>1</v>
      </c>
      <c r="BV120">
        <v>1</v>
      </c>
      <c r="BW120">
        <v>1</v>
      </c>
      <c r="BX120">
        <v>1</v>
      </c>
      <c r="BY120" t="s">
        <v>3</v>
      </c>
      <c r="BZ120">
        <v>0</v>
      </c>
      <c r="CA120">
        <v>0</v>
      </c>
      <c r="CE120">
        <v>30</v>
      </c>
      <c r="CF120">
        <v>0</v>
      </c>
      <c r="CG120">
        <v>0</v>
      </c>
      <c r="CM120">
        <v>0</v>
      </c>
      <c r="CN120" t="s">
        <v>3</v>
      </c>
      <c r="CO120">
        <v>0</v>
      </c>
      <c r="CP120">
        <f>(P120+Q120+S120)</f>
        <v>643.92999999999995</v>
      </c>
      <c r="CQ120">
        <f>ROUND((ROUND((AC120*AW120*1),2)*BC120),2)</f>
        <v>552.25</v>
      </c>
      <c r="CR120">
        <f>(ROUND((ROUND(((ET120)*AV120*1),2)*BB120),2)+ROUND((ROUND(((AE120-(EU120))*AV120*1),2)*BS120),2))</f>
        <v>0</v>
      </c>
      <c r="CS120">
        <f>ROUND((ROUND((AE120*AV120*1),2)*BS120),2)</f>
        <v>0</v>
      </c>
      <c r="CT120">
        <f>ROUND((ROUND((AF120*AV120*1),2)*BA120),2)</f>
        <v>0</v>
      </c>
      <c r="CU120">
        <f>AG120</f>
        <v>0</v>
      </c>
      <c r="CV120">
        <f>(AH120*AV120)</f>
        <v>0</v>
      </c>
      <c r="CW120">
        <f t="shared" si="122"/>
        <v>0</v>
      </c>
      <c r="CX120">
        <f t="shared" si="122"/>
        <v>0</v>
      </c>
      <c r="CY120">
        <f>S120*(BZ120/100)</f>
        <v>0</v>
      </c>
      <c r="CZ120">
        <f>S120*(CA120/100)</f>
        <v>0</v>
      </c>
      <c r="DC120" t="s">
        <v>3</v>
      </c>
      <c r="DD120" t="s">
        <v>3</v>
      </c>
      <c r="DE120" t="s">
        <v>3</v>
      </c>
      <c r="DF120" t="s">
        <v>3</v>
      </c>
      <c r="DG120" t="s">
        <v>3</v>
      </c>
      <c r="DH120" t="s">
        <v>3</v>
      </c>
      <c r="DI120" t="s">
        <v>3</v>
      </c>
      <c r="DJ120" t="s">
        <v>3</v>
      </c>
      <c r="DK120" t="s">
        <v>3</v>
      </c>
      <c r="DL120" t="s">
        <v>3</v>
      </c>
      <c r="DM120" t="s">
        <v>3</v>
      </c>
      <c r="DN120">
        <v>161</v>
      </c>
      <c r="DO120">
        <v>107</v>
      </c>
      <c r="DP120">
        <v>1</v>
      </c>
      <c r="DQ120">
        <v>1</v>
      </c>
      <c r="DU120">
        <v>1007</v>
      </c>
      <c r="DV120" t="s">
        <v>47</v>
      </c>
      <c r="DW120" t="s">
        <v>47</v>
      </c>
      <c r="DX120">
        <v>1</v>
      </c>
      <c r="EE120">
        <v>33795580</v>
      </c>
      <c r="EF120">
        <v>30</v>
      </c>
      <c r="EG120" t="s">
        <v>20</v>
      </c>
      <c r="EH120">
        <v>0</v>
      </c>
      <c r="EI120" t="s">
        <v>3</v>
      </c>
      <c r="EJ120">
        <v>1</v>
      </c>
      <c r="EK120">
        <v>146</v>
      </c>
      <c r="EL120" t="s">
        <v>42</v>
      </c>
      <c r="EM120" t="s">
        <v>43</v>
      </c>
      <c r="EO120" t="s">
        <v>3</v>
      </c>
      <c r="EQ120">
        <v>0</v>
      </c>
      <c r="ER120">
        <v>104.99</v>
      </c>
      <c r="ES120">
        <v>104.99</v>
      </c>
      <c r="ET120">
        <v>0</v>
      </c>
      <c r="EU120">
        <v>0</v>
      </c>
      <c r="EV120">
        <v>0</v>
      </c>
      <c r="EW120">
        <v>0</v>
      </c>
      <c r="EX120">
        <v>0</v>
      </c>
      <c r="FQ120">
        <v>0</v>
      </c>
      <c r="FR120">
        <f>ROUND(IF(AND(BH120=3,BI120=3),P120,0),2)</f>
        <v>0</v>
      </c>
      <c r="FS120">
        <v>0</v>
      </c>
      <c r="FX120">
        <v>161</v>
      </c>
      <c r="FY120">
        <v>107</v>
      </c>
      <c r="GA120" t="s">
        <v>3</v>
      </c>
      <c r="GD120">
        <v>0</v>
      </c>
      <c r="GF120">
        <v>2069056849</v>
      </c>
      <c r="GG120">
        <v>2</v>
      </c>
      <c r="GH120">
        <v>1</v>
      </c>
      <c r="GI120">
        <v>2</v>
      </c>
      <c r="GJ120">
        <v>0</v>
      </c>
      <c r="GK120">
        <f>ROUND(R120*(R12)/100,2)</f>
        <v>0</v>
      </c>
      <c r="GL120">
        <f>ROUND(IF(AND(BH120=3,BI120=3,FS120&lt;&gt;0),P120,0),2)</f>
        <v>0</v>
      </c>
      <c r="GM120">
        <f>ROUND(O120+X120+Y120+GK120,2)+GX120</f>
        <v>643.92999999999995</v>
      </c>
      <c r="GN120">
        <f>IF(OR(BI120=0,BI120=1),ROUND(O120+X120+Y120+GK120,2),0)</f>
        <v>643.92999999999995</v>
      </c>
      <c r="GO120">
        <f>IF(BI120=2,ROUND(O120+X120+Y120+GK120,2),0)</f>
        <v>0</v>
      </c>
      <c r="GP120">
        <f>IF(BI120=4,ROUND(O120+X120+Y120+GK120,2)+GX120,0)</f>
        <v>0</v>
      </c>
      <c r="GR120">
        <v>0</v>
      </c>
      <c r="GS120">
        <v>0</v>
      </c>
      <c r="GT120">
        <v>0</v>
      </c>
      <c r="GU120" t="s">
        <v>3</v>
      </c>
      <c r="GV120">
        <f>ROUND((GT120),6)</f>
        <v>0</v>
      </c>
      <c r="GW120">
        <v>1</v>
      </c>
      <c r="GX120">
        <f>ROUND(HC120*I120,2)</f>
        <v>0</v>
      </c>
      <c r="HA120">
        <v>0</v>
      </c>
      <c r="HB120">
        <v>0</v>
      </c>
      <c r="HC120">
        <f>GV120*GW120</f>
        <v>0</v>
      </c>
      <c r="IK120">
        <v>0</v>
      </c>
    </row>
    <row r="121" spans="1:245">
      <c r="A121">
        <v>17</v>
      </c>
      <c r="B121">
        <v>1</v>
      </c>
      <c r="C121">
        <f>ROW(SmtRes!A78)</f>
        <v>78</v>
      </c>
      <c r="D121">
        <f>ROW(EtalonRes!A78)</f>
        <v>78</v>
      </c>
      <c r="E121" t="s">
        <v>155</v>
      </c>
      <c r="F121" t="s">
        <v>156</v>
      </c>
      <c r="G121" t="s">
        <v>157</v>
      </c>
      <c r="H121" t="s">
        <v>158</v>
      </c>
      <c r="I121">
        <f>ROUND(53/100,4)</f>
        <v>0.53</v>
      </c>
      <c r="J121">
        <v>0</v>
      </c>
      <c r="O121">
        <f>ROUND(CP121,2)</f>
        <v>20542.11</v>
      </c>
      <c r="P121">
        <f>ROUND((ROUND((AC121*AW121*I121),2)*BC121),2)</f>
        <v>11050.21</v>
      </c>
      <c r="Q121">
        <f>(ROUND((ROUND(((ET121)*AV121*I121),2)*BB121),2)+ROUND((ROUND(((AE121-(EU121))*AV121*I121),2)*BS121),2))</f>
        <v>257.12</v>
      </c>
      <c r="R121">
        <f>ROUND((ROUND((AE121*AV121*I121),2)*BS121),2)</f>
        <v>108.71</v>
      </c>
      <c r="S121">
        <f>ROUND((ROUND((AF121*AV121*I121),2)*BA121),2)</f>
        <v>9234.7800000000007</v>
      </c>
      <c r="T121">
        <f>ROUND(CU121*I121,2)</f>
        <v>0</v>
      </c>
      <c r="U121">
        <f>CV121*I121</f>
        <v>33.623199999999997</v>
      </c>
      <c r="V121">
        <f>CW121*I121</f>
        <v>0</v>
      </c>
      <c r="W121">
        <f>ROUND(CX121*I121,2)</f>
        <v>0</v>
      </c>
      <c r="X121">
        <f t="shared" si="119"/>
        <v>12097.56</v>
      </c>
      <c r="Y121">
        <f t="shared" si="119"/>
        <v>4986.78</v>
      </c>
      <c r="AA121">
        <v>33985563</v>
      </c>
      <c r="AB121">
        <f>ROUND((AC121+AD121+AF121),6)</f>
        <v>4465.42</v>
      </c>
      <c r="AC121">
        <f>ROUND((ES121),6)</f>
        <v>3709.87</v>
      </c>
      <c r="AD121">
        <f>ROUND((((ET121)-(EU121))+AE121),6)</f>
        <v>53.54</v>
      </c>
      <c r="AE121">
        <f t="shared" si="120"/>
        <v>8.27</v>
      </c>
      <c r="AF121">
        <f t="shared" si="120"/>
        <v>702.01</v>
      </c>
      <c r="AG121">
        <f>ROUND((AP121),6)</f>
        <v>0</v>
      </c>
      <c r="AH121">
        <f t="shared" si="121"/>
        <v>63.44</v>
      </c>
      <c r="AI121">
        <f t="shared" si="121"/>
        <v>0</v>
      </c>
      <c r="AJ121">
        <f>(AS121)</f>
        <v>0</v>
      </c>
      <c r="AK121">
        <v>4465.42</v>
      </c>
      <c r="AL121">
        <v>3709.87</v>
      </c>
      <c r="AM121">
        <v>53.54</v>
      </c>
      <c r="AN121">
        <v>8.27</v>
      </c>
      <c r="AO121">
        <v>702.01</v>
      </c>
      <c r="AP121">
        <v>0</v>
      </c>
      <c r="AQ121">
        <v>63.44</v>
      </c>
      <c r="AR121">
        <v>0</v>
      </c>
      <c r="AS121">
        <v>0</v>
      </c>
      <c r="AT121">
        <v>131</v>
      </c>
      <c r="AU121">
        <v>54</v>
      </c>
      <c r="AV121">
        <v>1</v>
      </c>
      <c r="AW121">
        <v>1</v>
      </c>
      <c r="AZ121">
        <v>1</v>
      </c>
      <c r="BA121">
        <v>24.82</v>
      </c>
      <c r="BB121">
        <v>9.06</v>
      </c>
      <c r="BC121">
        <v>5.62</v>
      </c>
      <c r="BD121" t="s">
        <v>3</v>
      </c>
      <c r="BE121" t="s">
        <v>3</v>
      </c>
      <c r="BF121" t="s">
        <v>3</v>
      </c>
      <c r="BG121" t="s">
        <v>3</v>
      </c>
      <c r="BH121">
        <v>0</v>
      </c>
      <c r="BI121">
        <v>1</v>
      </c>
      <c r="BJ121" t="s">
        <v>159</v>
      </c>
      <c r="BM121">
        <v>1693</v>
      </c>
      <c r="BN121">
        <v>0</v>
      </c>
      <c r="BO121" t="s">
        <v>156</v>
      </c>
      <c r="BP121">
        <v>1</v>
      </c>
      <c r="BQ121">
        <v>30</v>
      </c>
      <c r="BR121">
        <v>0</v>
      </c>
      <c r="BS121">
        <v>24.82</v>
      </c>
      <c r="BT121">
        <v>1</v>
      </c>
      <c r="BU121">
        <v>1</v>
      </c>
      <c r="BV121">
        <v>1</v>
      </c>
      <c r="BW121">
        <v>1</v>
      </c>
      <c r="BX121">
        <v>1</v>
      </c>
      <c r="BY121" t="s">
        <v>3</v>
      </c>
      <c r="BZ121">
        <v>131</v>
      </c>
      <c r="CA121">
        <v>54</v>
      </c>
      <c r="CE121">
        <v>30</v>
      </c>
      <c r="CF121">
        <v>0</v>
      </c>
      <c r="CG121">
        <v>0</v>
      </c>
      <c r="CM121">
        <v>0</v>
      </c>
      <c r="CN121" t="s">
        <v>3</v>
      </c>
      <c r="CO121">
        <v>0</v>
      </c>
      <c r="CP121">
        <f>(P121+Q121+S121)</f>
        <v>20542.11</v>
      </c>
      <c r="CQ121">
        <f>ROUND((ROUND((AC121*AW121*1),2)*BC121),2)</f>
        <v>20849.47</v>
      </c>
      <c r="CR121">
        <f>(ROUND((ROUND(((ET121)*AV121*1),2)*BB121),2)+ROUND((ROUND(((AE121-(EU121))*AV121*1),2)*BS121),2))</f>
        <v>485.07</v>
      </c>
      <c r="CS121">
        <f>ROUND((ROUND((AE121*AV121*1),2)*BS121),2)</f>
        <v>205.26</v>
      </c>
      <c r="CT121">
        <f>ROUND((ROUND((AF121*AV121*1),2)*BA121),2)</f>
        <v>17423.89</v>
      </c>
      <c r="CU121">
        <f>AG121</f>
        <v>0</v>
      </c>
      <c r="CV121">
        <f>(AH121*AV121)</f>
        <v>63.44</v>
      </c>
      <c r="CW121">
        <f t="shared" si="122"/>
        <v>0</v>
      </c>
      <c r="CX121">
        <f t="shared" si="122"/>
        <v>0</v>
      </c>
      <c r="CY121">
        <f>S121*(BZ121/100)</f>
        <v>12097.561800000001</v>
      </c>
      <c r="CZ121">
        <f>S121*(CA121/100)</f>
        <v>4986.7812000000004</v>
      </c>
      <c r="DC121" t="s">
        <v>3</v>
      </c>
      <c r="DD121" t="s">
        <v>3</v>
      </c>
      <c r="DE121" t="s">
        <v>3</v>
      </c>
      <c r="DF121" t="s">
        <v>3</v>
      </c>
      <c r="DG121" t="s">
        <v>3</v>
      </c>
      <c r="DH121" t="s">
        <v>3</v>
      </c>
      <c r="DI121" t="s">
        <v>3</v>
      </c>
      <c r="DJ121" t="s">
        <v>3</v>
      </c>
      <c r="DK121" t="s">
        <v>3</v>
      </c>
      <c r="DL121" t="s">
        <v>3</v>
      </c>
      <c r="DM121" t="s">
        <v>3</v>
      </c>
      <c r="DN121">
        <v>161</v>
      </c>
      <c r="DO121">
        <v>107</v>
      </c>
      <c r="DP121">
        <v>1</v>
      </c>
      <c r="DQ121">
        <v>1</v>
      </c>
      <c r="DU121">
        <v>1013</v>
      </c>
      <c r="DV121" t="s">
        <v>158</v>
      </c>
      <c r="DW121" t="s">
        <v>158</v>
      </c>
      <c r="DX121">
        <v>1</v>
      </c>
      <c r="EE121">
        <v>33797127</v>
      </c>
      <c r="EF121">
        <v>30</v>
      </c>
      <c r="EG121" t="s">
        <v>20</v>
      </c>
      <c r="EH121">
        <v>0</v>
      </c>
      <c r="EI121" t="s">
        <v>3</v>
      </c>
      <c r="EJ121">
        <v>1</v>
      </c>
      <c r="EK121">
        <v>1693</v>
      </c>
      <c r="EL121" t="s">
        <v>160</v>
      </c>
      <c r="EM121" t="s">
        <v>161</v>
      </c>
      <c r="EO121" t="s">
        <v>3</v>
      </c>
      <c r="EQ121">
        <v>131072</v>
      </c>
      <c r="ER121">
        <v>4465.42</v>
      </c>
      <c r="ES121">
        <v>3709.87</v>
      </c>
      <c r="ET121">
        <v>53.54</v>
      </c>
      <c r="EU121">
        <v>8.27</v>
      </c>
      <c r="EV121">
        <v>702.01</v>
      </c>
      <c r="EW121">
        <v>63.44</v>
      </c>
      <c r="EX121">
        <v>0</v>
      </c>
      <c r="EY121">
        <v>0</v>
      </c>
      <c r="FQ121">
        <v>0</v>
      </c>
      <c r="FR121">
        <f>ROUND(IF(AND(BH121=3,BI121=3),P121,0),2)</f>
        <v>0</v>
      </c>
      <c r="FS121">
        <v>0</v>
      </c>
      <c r="FX121">
        <v>161</v>
      </c>
      <c r="FY121">
        <v>107</v>
      </c>
      <c r="GA121" t="s">
        <v>3</v>
      </c>
      <c r="GD121">
        <v>0</v>
      </c>
      <c r="GF121">
        <v>574270988</v>
      </c>
      <c r="GG121">
        <v>2</v>
      </c>
      <c r="GH121">
        <v>1</v>
      </c>
      <c r="GI121">
        <v>2</v>
      </c>
      <c r="GJ121">
        <v>0</v>
      </c>
      <c r="GK121">
        <f>ROUND(R121*(R12)/100,2)</f>
        <v>170.67</v>
      </c>
      <c r="GL121">
        <f>ROUND(IF(AND(BH121=3,BI121=3,FS121&lt;&gt;0),P121,0),2)</f>
        <v>0</v>
      </c>
      <c r="GM121">
        <f>ROUND(O121+X121+Y121+GK121,2)+GX121</f>
        <v>37797.120000000003</v>
      </c>
      <c r="GN121">
        <f>IF(OR(BI121=0,BI121=1),ROUND(O121+X121+Y121+GK121,2),0)</f>
        <v>37797.120000000003</v>
      </c>
      <c r="GO121">
        <f>IF(BI121=2,ROUND(O121+X121+Y121+GK121,2),0)</f>
        <v>0</v>
      </c>
      <c r="GP121">
        <f>IF(BI121=4,ROUND(O121+X121+Y121+GK121,2)+GX121,0)</f>
        <v>0</v>
      </c>
      <c r="GR121">
        <v>0</v>
      </c>
      <c r="GS121">
        <v>3</v>
      </c>
      <c r="GT121">
        <v>0</v>
      </c>
      <c r="GU121" t="s">
        <v>3</v>
      </c>
      <c r="GV121">
        <f>ROUND((GT121),6)</f>
        <v>0</v>
      </c>
      <c r="GW121">
        <v>1</v>
      </c>
      <c r="GX121">
        <f>ROUND(HC121*I121,2)</f>
        <v>0</v>
      </c>
      <c r="HA121">
        <v>0</v>
      </c>
      <c r="HB121">
        <v>0</v>
      </c>
      <c r="HC121">
        <f>GV121*GW121</f>
        <v>0</v>
      </c>
      <c r="IK121">
        <v>0</v>
      </c>
    </row>
    <row r="122" spans="1:245">
      <c r="A122">
        <v>18</v>
      </c>
      <c r="B122">
        <v>1</v>
      </c>
      <c r="C122">
        <v>78</v>
      </c>
      <c r="E122" t="s">
        <v>162</v>
      </c>
      <c r="F122" t="s">
        <v>163</v>
      </c>
      <c r="G122" t="s">
        <v>164</v>
      </c>
      <c r="H122" t="s">
        <v>47</v>
      </c>
      <c r="I122">
        <f>I121*J122</f>
        <v>1.537E-3</v>
      </c>
      <c r="J122">
        <v>2.8999999999999998E-3</v>
      </c>
      <c r="O122">
        <f>ROUND(CP122,2)</f>
        <v>13.87</v>
      </c>
      <c r="P122">
        <f>ROUND((ROUND((AC122*AW122*I122),2)*BC122),2)</f>
        <v>13.87</v>
      </c>
      <c r="Q122">
        <f>(ROUND((ROUND(((ET122)*AV122*I122),2)*BB122),2)+ROUND((ROUND(((AE122-(EU122))*AV122*I122),2)*BS122),2))</f>
        <v>0</v>
      </c>
      <c r="R122">
        <f>ROUND((ROUND((AE122*AV122*I122),2)*BS122),2)</f>
        <v>0</v>
      </c>
      <c r="S122">
        <f>ROUND((ROUND((AF122*AV122*I122),2)*BA122),2)</f>
        <v>0</v>
      </c>
      <c r="T122">
        <f>ROUND(CU122*I122,2)</f>
        <v>0</v>
      </c>
      <c r="U122">
        <f>CV122*I122</f>
        <v>0</v>
      </c>
      <c r="V122">
        <f>CW122*I122</f>
        <v>0</v>
      </c>
      <c r="W122">
        <f>ROUND(CX122*I122,2)</f>
        <v>0</v>
      </c>
      <c r="X122">
        <f t="shared" si="119"/>
        <v>0</v>
      </c>
      <c r="Y122">
        <f t="shared" si="119"/>
        <v>0</v>
      </c>
      <c r="AA122">
        <v>33985563</v>
      </c>
      <c r="AB122">
        <f>ROUND((AC122+AD122+AF122),6)</f>
        <v>2385.71</v>
      </c>
      <c r="AC122">
        <f>ROUND((ES122),6)</f>
        <v>2385.71</v>
      </c>
      <c r="AD122">
        <f>ROUND((((ET122)-(EU122))+AE122),6)</f>
        <v>0</v>
      </c>
      <c r="AE122">
        <f t="shared" si="120"/>
        <v>0</v>
      </c>
      <c r="AF122">
        <f t="shared" si="120"/>
        <v>0</v>
      </c>
      <c r="AG122">
        <f>ROUND((AP122),6)</f>
        <v>0</v>
      </c>
      <c r="AH122">
        <f t="shared" si="121"/>
        <v>0</v>
      </c>
      <c r="AI122">
        <f t="shared" si="121"/>
        <v>0</v>
      </c>
      <c r="AJ122">
        <f>(AS122)</f>
        <v>0</v>
      </c>
      <c r="AK122">
        <v>2385.71</v>
      </c>
      <c r="AL122">
        <v>2385.71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1</v>
      </c>
      <c r="AW122">
        <v>1</v>
      </c>
      <c r="AZ122">
        <v>1</v>
      </c>
      <c r="BA122">
        <v>1</v>
      </c>
      <c r="BB122">
        <v>1</v>
      </c>
      <c r="BC122">
        <v>3.78</v>
      </c>
      <c r="BD122" t="s">
        <v>3</v>
      </c>
      <c r="BE122" t="s">
        <v>3</v>
      </c>
      <c r="BF122" t="s">
        <v>3</v>
      </c>
      <c r="BG122" t="s">
        <v>3</v>
      </c>
      <c r="BH122">
        <v>3</v>
      </c>
      <c r="BI122">
        <v>1</v>
      </c>
      <c r="BJ122" t="s">
        <v>165</v>
      </c>
      <c r="BM122">
        <v>1693</v>
      </c>
      <c r="BN122">
        <v>0</v>
      </c>
      <c r="BO122" t="s">
        <v>163</v>
      </c>
      <c r="BP122">
        <v>1</v>
      </c>
      <c r="BQ122">
        <v>30</v>
      </c>
      <c r="BR122">
        <v>0</v>
      </c>
      <c r="BS122">
        <v>1</v>
      </c>
      <c r="BT122">
        <v>1</v>
      </c>
      <c r="BU122">
        <v>1</v>
      </c>
      <c r="BV122">
        <v>1</v>
      </c>
      <c r="BW122">
        <v>1</v>
      </c>
      <c r="BX122">
        <v>1</v>
      </c>
      <c r="BY122" t="s">
        <v>3</v>
      </c>
      <c r="BZ122">
        <v>0</v>
      </c>
      <c r="CA122">
        <v>0</v>
      </c>
      <c r="CE122">
        <v>30</v>
      </c>
      <c r="CF122">
        <v>0</v>
      </c>
      <c r="CG122">
        <v>0</v>
      </c>
      <c r="CM122">
        <v>0</v>
      </c>
      <c r="CN122" t="s">
        <v>3</v>
      </c>
      <c r="CO122">
        <v>0</v>
      </c>
      <c r="CP122">
        <f>(P122+Q122+S122)</f>
        <v>13.87</v>
      </c>
      <c r="CQ122">
        <f>ROUND((ROUND((AC122*AW122*1),2)*BC122),2)</f>
        <v>9017.98</v>
      </c>
      <c r="CR122">
        <f>(ROUND((ROUND(((ET122)*AV122*1),2)*BB122),2)+ROUND((ROUND(((AE122-(EU122))*AV122*1),2)*BS122),2))</f>
        <v>0</v>
      </c>
      <c r="CS122">
        <f>ROUND((ROUND((AE122*AV122*1),2)*BS122),2)</f>
        <v>0</v>
      </c>
      <c r="CT122">
        <f>ROUND((ROUND((AF122*AV122*1),2)*BA122),2)</f>
        <v>0</v>
      </c>
      <c r="CU122">
        <f>AG122</f>
        <v>0</v>
      </c>
      <c r="CV122">
        <f>(AH122*AV122)</f>
        <v>0</v>
      </c>
      <c r="CW122">
        <f t="shared" si="122"/>
        <v>0</v>
      </c>
      <c r="CX122">
        <f t="shared" si="122"/>
        <v>0</v>
      </c>
      <c r="CY122">
        <f>S122*(BZ122/100)</f>
        <v>0</v>
      </c>
      <c r="CZ122">
        <f>S122*(CA122/100)</f>
        <v>0</v>
      </c>
      <c r="DC122" t="s">
        <v>3</v>
      </c>
      <c r="DD122" t="s">
        <v>3</v>
      </c>
      <c r="DE122" t="s">
        <v>3</v>
      </c>
      <c r="DF122" t="s">
        <v>3</v>
      </c>
      <c r="DG122" t="s">
        <v>3</v>
      </c>
      <c r="DH122" t="s">
        <v>3</v>
      </c>
      <c r="DI122" t="s">
        <v>3</v>
      </c>
      <c r="DJ122" t="s">
        <v>3</v>
      </c>
      <c r="DK122" t="s">
        <v>3</v>
      </c>
      <c r="DL122" t="s">
        <v>3</v>
      </c>
      <c r="DM122" t="s">
        <v>3</v>
      </c>
      <c r="DN122">
        <v>161</v>
      </c>
      <c r="DO122">
        <v>107</v>
      </c>
      <c r="DP122">
        <v>1</v>
      </c>
      <c r="DQ122">
        <v>1</v>
      </c>
      <c r="DU122">
        <v>1007</v>
      </c>
      <c r="DV122" t="s">
        <v>47</v>
      </c>
      <c r="DW122" t="s">
        <v>47</v>
      </c>
      <c r="DX122">
        <v>1</v>
      </c>
      <c r="EE122">
        <v>33797127</v>
      </c>
      <c r="EF122">
        <v>30</v>
      </c>
      <c r="EG122" t="s">
        <v>20</v>
      </c>
      <c r="EH122">
        <v>0</v>
      </c>
      <c r="EI122" t="s">
        <v>3</v>
      </c>
      <c r="EJ122">
        <v>1</v>
      </c>
      <c r="EK122">
        <v>1693</v>
      </c>
      <c r="EL122" t="s">
        <v>160</v>
      </c>
      <c r="EM122" t="s">
        <v>161</v>
      </c>
      <c r="EO122" t="s">
        <v>3</v>
      </c>
      <c r="EQ122">
        <v>0</v>
      </c>
      <c r="ER122">
        <v>2385.71</v>
      </c>
      <c r="ES122">
        <v>2385.71</v>
      </c>
      <c r="ET122">
        <v>0</v>
      </c>
      <c r="EU122">
        <v>0</v>
      </c>
      <c r="EV122">
        <v>0</v>
      </c>
      <c r="EW122">
        <v>0</v>
      </c>
      <c r="EX122">
        <v>0</v>
      </c>
      <c r="FQ122">
        <v>0</v>
      </c>
      <c r="FR122">
        <f>ROUND(IF(AND(BH122=3,BI122=3),P122,0),2)</f>
        <v>0</v>
      </c>
      <c r="FS122">
        <v>0</v>
      </c>
      <c r="FX122">
        <v>161</v>
      </c>
      <c r="FY122">
        <v>107</v>
      </c>
      <c r="GA122" t="s">
        <v>3</v>
      </c>
      <c r="GD122">
        <v>0</v>
      </c>
      <c r="GF122">
        <v>889553512</v>
      </c>
      <c r="GG122">
        <v>2</v>
      </c>
      <c r="GH122">
        <v>1</v>
      </c>
      <c r="GI122">
        <v>2</v>
      </c>
      <c r="GJ122">
        <v>0</v>
      </c>
      <c r="GK122">
        <f>ROUND(R122*(R12)/100,2)</f>
        <v>0</v>
      </c>
      <c r="GL122">
        <f>ROUND(IF(AND(BH122=3,BI122=3,FS122&lt;&gt;0),P122,0),2)</f>
        <v>0</v>
      </c>
      <c r="GM122">
        <f>ROUND(O122+X122+Y122+GK122,2)+GX122</f>
        <v>13.87</v>
      </c>
      <c r="GN122">
        <f>IF(OR(BI122=0,BI122=1),ROUND(O122+X122+Y122+GK122,2),0)</f>
        <v>13.87</v>
      </c>
      <c r="GO122">
        <f>IF(BI122=2,ROUND(O122+X122+Y122+GK122,2),0)</f>
        <v>0</v>
      </c>
      <c r="GP122">
        <f>IF(BI122=4,ROUND(O122+X122+Y122+GK122,2)+GX122,0)</f>
        <v>0</v>
      </c>
      <c r="GR122">
        <v>0</v>
      </c>
      <c r="GS122">
        <v>3</v>
      </c>
      <c r="GT122">
        <v>0</v>
      </c>
      <c r="GU122" t="s">
        <v>3</v>
      </c>
      <c r="GV122">
        <f>ROUND((GT122),6)</f>
        <v>0</v>
      </c>
      <c r="GW122">
        <v>1</v>
      </c>
      <c r="GX122">
        <f>ROUND(HC122*I122,2)</f>
        <v>0</v>
      </c>
      <c r="HA122">
        <v>0</v>
      </c>
      <c r="HB122">
        <v>0</v>
      </c>
      <c r="HC122">
        <f>GV122*GW122</f>
        <v>0</v>
      </c>
      <c r="IK122">
        <v>0</v>
      </c>
    </row>
    <row r="124" spans="1:245">
      <c r="A124" s="2">
        <v>51</v>
      </c>
      <c r="B124" s="2">
        <f>B115</f>
        <v>1</v>
      </c>
      <c r="C124" s="2">
        <f>A115</f>
        <v>4</v>
      </c>
      <c r="D124" s="2">
        <f>ROW(A115)</f>
        <v>115</v>
      </c>
      <c r="E124" s="2"/>
      <c r="F124" s="2" t="str">
        <f>IF(F115&lt;&gt;"",F115,"")</f>
        <v>Новый раздел</v>
      </c>
      <c r="G124" s="2" t="str">
        <f>IF(G115&lt;&gt;"",G115,"")</f>
        <v>28. Камень бортовой садовый</v>
      </c>
      <c r="H124" s="2">
        <v>0</v>
      </c>
      <c r="I124" s="2"/>
      <c r="J124" s="2"/>
      <c r="K124" s="2"/>
      <c r="L124" s="2"/>
      <c r="M124" s="2"/>
      <c r="N124" s="2"/>
      <c r="O124" s="2">
        <f t="shared" ref="O124:T124" si="123">ROUND(AB124,2)</f>
        <v>21310.34</v>
      </c>
      <c r="P124" s="2">
        <f t="shared" si="123"/>
        <v>11709.86</v>
      </c>
      <c r="Q124" s="2">
        <f t="shared" si="123"/>
        <v>325.74</v>
      </c>
      <c r="R124" s="2">
        <f t="shared" si="123"/>
        <v>139.97999999999999</v>
      </c>
      <c r="S124" s="2">
        <f t="shared" si="123"/>
        <v>9274.74</v>
      </c>
      <c r="T124" s="2">
        <f t="shared" si="123"/>
        <v>0</v>
      </c>
      <c r="U124" s="2">
        <f>AH124</f>
        <v>33.775839999999995</v>
      </c>
      <c r="V124" s="2">
        <f>AI124</f>
        <v>0</v>
      </c>
      <c r="W124" s="2">
        <f>ROUND(AJ124,2)</f>
        <v>0</v>
      </c>
      <c r="X124" s="2">
        <f>ROUND(AK124,2)</f>
        <v>12149.91</v>
      </c>
      <c r="Y124" s="2">
        <f>ROUND(AL124,2)</f>
        <v>5008.3599999999997</v>
      </c>
      <c r="Z124" s="2"/>
      <c r="AA124" s="2"/>
      <c r="AB124" s="2">
        <f>ROUND(SUMIF(AA119:AA122,"=33985563",O119:O122),2)</f>
        <v>21310.34</v>
      </c>
      <c r="AC124" s="2">
        <f>ROUND(SUMIF(AA119:AA122,"=33985563",P119:P122),2)</f>
        <v>11709.86</v>
      </c>
      <c r="AD124" s="2">
        <f>ROUND(SUMIF(AA119:AA122,"=33985563",Q119:Q122),2)</f>
        <v>325.74</v>
      </c>
      <c r="AE124" s="2">
        <f>ROUND(SUMIF(AA119:AA122,"=33985563",R119:R122),2)</f>
        <v>139.97999999999999</v>
      </c>
      <c r="AF124" s="2">
        <f>ROUND(SUMIF(AA119:AA122,"=33985563",S119:S122),2)</f>
        <v>9274.74</v>
      </c>
      <c r="AG124" s="2">
        <f>ROUND(SUMIF(AA119:AA122,"=33985563",T119:T122),2)</f>
        <v>0</v>
      </c>
      <c r="AH124" s="2">
        <f>SUMIF(AA119:AA122,"=33985563",U119:U122)</f>
        <v>33.775839999999995</v>
      </c>
      <c r="AI124" s="2">
        <f>SUMIF(AA119:AA122,"=33985563",V119:V122)</f>
        <v>0</v>
      </c>
      <c r="AJ124" s="2">
        <f>ROUND(SUMIF(AA119:AA122,"=33985563",W119:W122),2)</f>
        <v>0</v>
      </c>
      <c r="AK124" s="2">
        <f>ROUND(SUMIF(AA119:AA122,"=33985563",X119:X122),2)</f>
        <v>12149.91</v>
      </c>
      <c r="AL124" s="2">
        <f>ROUND(SUMIF(AA119:AA122,"=33985563",Y119:Y122),2)</f>
        <v>5008.3599999999997</v>
      </c>
      <c r="AM124" s="2"/>
      <c r="AN124" s="2"/>
      <c r="AO124" s="2">
        <f t="shared" ref="AO124:BD124" si="124">ROUND(BX124,2)</f>
        <v>0</v>
      </c>
      <c r="AP124" s="2">
        <f t="shared" si="124"/>
        <v>0</v>
      </c>
      <c r="AQ124" s="2">
        <f t="shared" si="124"/>
        <v>0</v>
      </c>
      <c r="AR124" s="2">
        <f t="shared" si="124"/>
        <v>38688.370000000003</v>
      </c>
      <c r="AS124" s="2">
        <f t="shared" si="124"/>
        <v>38688.370000000003</v>
      </c>
      <c r="AT124" s="2">
        <f t="shared" si="124"/>
        <v>0</v>
      </c>
      <c r="AU124" s="2">
        <f t="shared" si="124"/>
        <v>0</v>
      </c>
      <c r="AV124" s="2">
        <f t="shared" si="124"/>
        <v>11709.86</v>
      </c>
      <c r="AW124" s="2">
        <f t="shared" si="124"/>
        <v>11709.86</v>
      </c>
      <c r="AX124" s="2">
        <f t="shared" si="124"/>
        <v>0</v>
      </c>
      <c r="AY124" s="2">
        <f t="shared" si="124"/>
        <v>11709.86</v>
      </c>
      <c r="AZ124" s="2">
        <f t="shared" si="124"/>
        <v>0</v>
      </c>
      <c r="BA124" s="2">
        <f t="shared" si="124"/>
        <v>0</v>
      </c>
      <c r="BB124" s="2">
        <f t="shared" si="124"/>
        <v>0</v>
      </c>
      <c r="BC124" s="2">
        <f t="shared" si="124"/>
        <v>0</v>
      </c>
      <c r="BD124" s="2">
        <f t="shared" si="124"/>
        <v>0</v>
      </c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>
        <f>ROUND(SUMIF(AA119:AA122,"=33985563",FQ119:FQ122),2)</f>
        <v>0</v>
      </c>
      <c r="BY124" s="2">
        <f>ROUND(SUMIF(AA119:AA122,"=33985563",FR119:FR122),2)</f>
        <v>0</v>
      </c>
      <c r="BZ124" s="2">
        <f>ROUND(SUMIF(AA119:AA122,"=33985563",GL119:GL122),2)</f>
        <v>0</v>
      </c>
      <c r="CA124" s="2">
        <f>ROUND(SUMIF(AA119:AA122,"=33985563",GM119:GM122),2)</f>
        <v>38688.370000000003</v>
      </c>
      <c r="CB124" s="2">
        <f>ROUND(SUMIF(AA119:AA122,"=33985563",GN119:GN122),2)</f>
        <v>38688.370000000003</v>
      </c>
      <c r="CC124" s="2">
        <f>ROUND(SUMIF(AA119:AA122,"=33985563",GO119:GO122),2)</f>
        <v>0</v>
      </c>
      <c r="CD124" s="2">
        <f>ROUND(SUMIF(AA119:AA122,"=33985563",GP119:GP122),2)</f>
        <v>0</v>
      </c>
      <c r="CE124" s="2">
        <f>AC124-BX124</f>
        <v>11709.86</v>
      </c>
      <c r="CF124" s="2">
        <f>AC124-BY124</f>
        <v>11709.86</v>
      </c>
      <c r="CG124" s="2">
        <f>BX124-BZ124</f>
        <v>0</v>
      </c>
      <c r="CH124" s="2">
        <f>AC124-BX124-BY124+BZ124</f>
        <v>11709.86</v>
      </c>
      <c r="CI124" s="2">
        <f>BY124-BZ124</f>
        <v>0</v>
      </c>
      <c r="CJ124" s="2">
        <f>ROUND(SUMIF(AA119:AA122,"=33985563",GX119:GX122),2)</f>
        <v>0</v>
      </c>
      <c r="CK124" s="2">
        <f>ROUND(SUMIF(AA119:AA122,"=33985563",GY119:GY122),2)</f>
        <v>0</v>
      </c>
      <c r="CL124" s="2">
        <f>ROUND(SUMIF(AA119:AA122,"=33985563",GZ119:GZ122),2)</f>
        <v>0</v>
      </c>
      <c r="CM124" s="2">
        <f>ROUND(SUMIF(AA119:AA122,"=33985563",HD119:HD122),2)</f>
        <v>0</v>
      </c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>
        <v>0</v>
      </c>
    </row>
    <row r="126" spans="1:245">
      <c r="A126" s="4">
        <v>50</v>
      </c>
      <c r="B126" s="4">
        <v>0</v>
      </c>
      <c r="C126" s="4">
        <v>0</v>
      </c>
      <c r="D126" s="4">
        <v>1</v>
      </c>
      <c r="E126" s="4">
        <v>201</v>
      </c>
      <c r="F126" s="4">
        <f>ROUND(Source!O124,O126)</f>
        <v>21310.34</v>
      </c>
      <c r="G126" s="4" t="s">
        <v>69</v>
      </c>
      <c r="H126" s="4" t="s">
        <v>70</v>
      </c>
      <c r="I126" s="4"/>
      <c r="J126" s="4"/>
      <c r="K126" s="4">
        <v>201</v>
      </c>
      <c r="L126" s="4">
        <v>1</v>
      </c>
      <c r="M126" s="4">
        <v>3</v>
      </c>
      <c r="N126" s="4" t="s">
        <v>3</v>
      </c>
      <c r="O126" s="4">
        <v>2</v>
      </c>
      <c r="P126" s="4"/>
      <c r="Q126" s="4"/>
      <c r="R126" s="4"/>
      <c r="S126" s="4"/>
      <c r="T126" s="4"/>
      <c r="U126" s="4"/>
      <c r="V126" s="4"/>
      <c r="W126" s="4"/>
    </row>
    <row r="127" spans="1:245">
      <c r="A127" s="4">
        <v>50</v>
      </c>
      <c r="B127" s="4">
        <v>0</v>
      </c>
      <c r="C127" s="4">
        <v>0</v>
      </c>
      <c r="D127" s="4">
        <v>1</v>
      </c>
      <c r="E127" s="4">
        <v>202</v>
      </c>
      <c r="F127" s="4">
        <f>ROUND(Source!P124,O127)</f>
        <v>11709.86</v>
      </c>
      <c r="G127" s="4" t="s">
        <v>71</v>
      </c>
      <c r="H127" s="4" t="s">
        <v>72</v>
      </c>
      <c r="I127" s="4"/>
      <c r="J127" s="4"/>
      <c r="K127" s="4">
        <v>202</v>
      </c>
      <c r="L127" s="4">
        <v>2</v>
      </c>
      <c r="M127" s="4">
        <v>3</v>
      </c>
      <c r="N127" s="4" t="s">
        <v>3</v>
      </c>
      <c r="O127" s="4">
        <v>2</v>
      </c>
      <c r="P127" s="4"/>
      <c r="Q127" s="4"/>
      <c r="R127" s="4"/>
      <c r="S127" s="4"/>
      <c r="T127" s="4"/>
      <c r="U127" s="4"/>
      <c r="V127" s="4"/>
      <c r="W127" s="4"/>
    </row>
    <row r="128" spans="1:245">
      <c r="A128" s="4">
        <v>50</v>
      </c>
      <c r="B128" s="4">
        <v>0</v>
      </c>
      <c r="C128" s="4">
        <v>0</v>
      </c>
      <c r="D128" s="4">
        <v>1</v>
      </c>
      <c r="E128" s="4">
        <v>222</v>
      </c>
      <c r="F128" s="4">
        <f>ROUND(Source!AO124,O128)</f>
        <v>0</v>
      </c>
      <c r="G128" s="4" t="s">
        <v>73</v>
      </c>
      <c r="H128" s="4" t="s">
        <v>74</v>
      </c>
      <c r="I128" s="4"/>
      <c r="J128" s="4"/>
      <c r="K128" s="4">
        <v>222</v>
      </c>
      <c r="L128" s="4">
        <v>3</v>
      </c>
      <c r="M128" s="4">
        <v>3</v>
      </c>
      <c r="N128" s="4" t="s">
        <v>3</v>
      </c>
      <c r="O128" s="4">
        <v>2</v>
      </c>
      <c r="P128" s="4"/>
      <c r="Q128" s="4"/>
      <c r="R128" s="4"/>
      <c r="S128" s="4"/>
      <c r="T128" s="4"/>
      <c r="U128" s="4"/>
      <c r="V128" s="4"/>
      <c r="W128" s="4"/>
    </row>
    <row r="129" spans="1:23">
      <c r="A129" s="4">
        <v>50</v>
      </c>
      <c r="B129" s="4">
        <v>0</v>
      </c>
      <c r="C129" s="4">
        <v>0</v>
      </c>
      <c r="D129" s="4">
        <v>1</v>
      </c>
      <c r="E129" s="4">
        <v>225</v>
      </c>
      <c r="F129" s="4">
        <f>ROUND(Source!AV124,O129)</f>
        <v>11709.86</v>
      </c>
      <c r="G129" s="4" t="s">
        <v>75</v>
      </c>
      <c r="H129" s="4" t="s">
        <v>76</v>
      </c>
      <c r="I129" s="4"/>
      <c r="J129" s="4"/>
      <c r="K129" s="4">
        <v>225</v>
      </c>
      <c r="L129" s="4">
        <v>4</v>
      </c>
      <c r="M129" s="4">
        <v>3</v>
      </c>
      <c r="N129" s="4" t="s">
        <v>3</v>
      </c>
      <c r="O129" s="4">
        <v>2</v>
      </c>
      <c r="P129" s="4"/>
      <c r="Q129" s="4"/>
      <c r="R129" s="4"/>
      <c r="S129" s="4"/>
      <c r="T129" s="4"/>
      <c r="U129" s="4"/>
      <c r="V129" s="4"/>
      <c r="W129" s="4"/>
    </row>
    <row r="130" spans="1:23">
      <c r="A130" s="4">
        <v>50</v>
      </c>
      <c r="B130" s="4">
        <v>0</v>
      </c>
      <c r="C130" s="4">
        <v>0</v>
      </c>
      <c r="D130" s="4">
        <v>1</v>
      </c>
      <c r="E130" s="4">
        <v>226</v>
      </c>
      <c r="F130" s="4">
        <f>ROUND(Source!AW124,O130)</f>
        <v>11709.86</v>
      </c>
      <c r="G130" s="4" t="s">
        <v>77</v>
      </c>
      <c r="H130" s="4" t="s">
        <v>78</v>
      </c>
      <c r="I130" s="4"/>
      <c r="J130" s="4"/>
      <c r="K130" s="4">
        <v>226</v>
      </c>
      <c r="L130" s="4">
        <v>5</v>
      </c>
      <c r="M130" s="4">
        <v>3</v>
      </c>
      <c r="N130" s="4" t="s">
        <v>3</v>
      </c>
      <c r="O130" s="4">
        <v>2</v>
      </c>
      <c r="P130" s="4"/>
      <c r="Q130" s="4"/>
      <c r="R130" s="4"/>
      <c r="S130" s="4"/>
      <c r="T130" s="4"/>
      <c r="U130" s="4"/>
      <c r="V130" s="4"/>
      <c r="W130" s="4"/>
    </row>
    <row r="131" spans="1:23">
      <c r="A131" s="4">
        <v>50</v>
      </c>
      <c r="B131" s="4">
        <v>0</v>
      </c>
      <c r="C131" s="4">
        <v>0</v>
      </c>
      <c r="D131" s="4">
        <v>1</v>
      </c>
      <c r="E131" s="4">
        <v>227</v>
      </c>
      <c r="F131" s="4">
        <f>ROUND(Source!AX124,O131)</f>
        <v>0</v>
      </c>
      <c r="G131" s="4" t="s">
        <v>79</v>
      </c>
      <c r="H131" s="4" t="s">
        <v>80</v>
      </c>
      <c r="I131" s="4"/>
      <c r="J131" s="4"/>
      <c r="K131" s="4">
        <v>227</v>
      </c>
      <c r="L131" s="4">
        <v>6</v>
      </c>
      <c r="M131" s="4">
        <v>3</v>
      </c>
      <c r="N131" s="4" t="s">
        <v>3</v>
      </c>
      <c r="O131" s="4">
        <v>2</v>
      </c>
      <c r="P131" s="4"/>
      <c r="Q131" s="4"/>
      <c r="R131" s="4"/>
      <c r="S131" s="4"/>
      <c r="T131" s="4"/>
      <c r="U131" s="4"/>
      <c r="V131" s="4"/>
      <c r="W131" s="4"/>
    </row>
    <row r="132" spans="1:23">
      <c r="A132" s="4">
        <v>50</v>
      </c>
      <c r="B132" s="4">
        <v>0</v>
      </c>
      <c r="C132" s="4">
        <v>0</v>
      </c>
      <c r="D132" s="4">
        <v>1</v>
      </c>
      <c r="E132" s="4">
        <v>228</v>
      </c>
      <c r="F132" s="4">
        <f>ROUND(Source!AY124,O132)</f>
        <v>11709.86</v>
      </c>
      <c r="G132" s="4" t="s">
        <v>81</v>
      </c>
      <c r="H132" s="4" t="s">
        <v>82</v>
      </c>
      <c r="I132" s="4"/>
      <c r="J132" s="4"/>
      <c r="K132" s="4">
        <v>228</v>
      </c>
      <c r="L132" s="4">
        <v>7</v>
      </c>
      <c r="M132" s="4">
        <v>3</v>
      </c>
      <c r="N132" s="4" t="s">
        <v>3</v>
      </c>
      <c r="O132" s="4">
        <v>2</v>
      </c>
      <c r="P132" s="4"/>
      <c r="Q132" s="4"/>
      <c r="R132" s="4"/>
      <c r="S132" s="4"/>
      <c r="T132" s="4"/>
      <c r="U132" s="4"/>
      <c r="V132" s="4"/>
      <c r="W132" s="4"/>
    </row>
    <row r="133" spans="1:23">
      <c r="A133" s="4">
        <v>50</v>
      </c>
      <c r="B133" s="4">
        <v>0</v>
      </c>
      <c r="C133" s="4">
        <v>0</v>
      </c>
      <c r="D133" s="4">
        <v>1</v>
      </c>
      <c r="E133" s="4">
        <v>216</v>
      </c>
      <c r="F133" s="4">
        <f>ROUND(Source!AP124,O133)</f>
        <v>0</v>
      </c>
      <c r="G133" s="4" t="s">
        <v>83</v>
      </c>
      <c r="H133" s="4" t="s">
        <v>84</v>
      </c>
      <c r="I133" s="4"/>
      <c r="J133" s="4"/>
      <c r="K133" s="4">
        <v>216</v>
      </c>
      <c r="L133" s="4">
        <v>8</v>
      </c>
      <c r="M133" s="4">
        <v>3</v>
      </c>
      <c r="N133" s="4" t="s">
        <v>3</v>
      </c>
      <c r="O133" s="4">
        <v>2</v>
      </c>
      <c r="P133" s="4"/>
      <c r="Q133" s="4"/>
      <c r="R133" s="4"/>
      <c r="S133" s="4"/>
      <c r="T133" s="4"/>
      <c r="U133" s="4"/>
      <c r="V133" s="4"/>
      <c r="W133" s="4"/>
    </row>
    <row r="134" spans="1:23">
      <c r="A134" s="4">
        <v>50</v>
      </c>
      <c r="B134" s="4">
        <v>0</v>
      </c>
      <c r="C134" s="4">
        <v>0</v>
      </c>
      <c r="D134" s="4">
        <v>1</v>
      </c>
      <c r="E134" s="4">
        <v>223</v>
      </c>
      <c r="F134" s="4">
        <f>ROUND(Source!AQ124,O134)</f>
        <v>0</v>
      </c>
      <c r="G134" s="4" t="s">
        <v>85</v>
      </c>
      <c r="H134" s="4" t="s">
        <v>86</v>
      </c>
      <c r="I134" s="4"/>
      <c r="J134" s="4"/>
      <c r="K134" s="4">
        <v>223</v>
      </c>
      <c r="L134" s="4">
        <v>9</v>
      </c>
      <c r="M134" s="4">
        <v>3</v>
      </c>
      <c r="N134" s="4" t="s">
        <v>3</v>
      </c>
      <c r="O134" s="4">
        <v>2</v>
      </c>
      <c r="P134" s="4"/>
      <c r="Q134" s="4"/>
      <c r="R134" s="4"/>
      <c r="S134" s="4"/>
      <c r="T134" s="4"/>
      <c r="U134" s="4"/>
      <c r="V134" s="4"/>
      <c r="W134" s="4"/>
    </row>
    <row r="135" spans="1:23">
      <c r="A135" s="4">
        <v>50</v>
      </c>
      <c r="B135" s="4">
        <v>0</v>
      </c>
      <c r="C135" s="4">
        <v>0</v>
      </c>
      <c r="D135" s="4">
        <v>1</v>
      </c>
      <c r="E135" s="4">
        <v>229</v>
      </c>
      <c r="F135" s="4">
        <f>ROUND(Source!AZ124,O135)</f>
        <v>0</v>
      </c>
      <c r="G135" s="4" t="s">
        <v>87</v>
      </c>
      <c r="H135" s="4" t="s">
        <v>88</v>
      </c>
      <c r="I135" s="4"/>
      <c r="J135" s="4"/>
      <c r="K135" s="4">
        <v>229</v>
      </c>
      <c r="L135" s="4">
        <v>10</v>
      </c>
      <c r="M135" s="4">
        <v>3</v>
      </c>
      <c r="N135" s="4" t="s">
        <v>3</v>
      </c>
      <c r="O135" s="4">
        <v>2</v>
      </c>
      <c r="P135" s="4"/>
      <c r="Q135" s="4"/>
      <c r="R135" s="4"/>
      <c r="S135" s="4"/>
      <c r="T135" s="4"/>
      <c r="U135" s="4"/>
      <c r="V135" s="4"/>
      <c r="W135" s="4"/>
    </row>
    <row r="136" spans="1:23">
      <c r="A136" s="4">
        <v>50</v>
      </c>
      <c r="B136" s="4">
        <v>0</v>
      </c>
      <c r="C136" s="4">
        <v>0</v>
      </c>
      <c r="D136" s="4">
        <v>1</v>
      </c>
      <c r="E136" s="4">
        <v>203</v>
      </c>
      <c r="F136" s="4">
        <f>ROUND(Source!Q124,O136)</f>
        <v>325.74</v>
      </c>
      <c r="G136" s="4" t="s">
        <v>89</v>
      </c>
      <c r="H136" s="4" t="s">
        <v>90</v>
      </c>
      <c r="I136" s="4"/>
      <c r="J136" s="4"/>
      <c r="K136" s="4">
        <v>203</v>
      </c>
      <c r="L136" s="4">
        <v>11</v>
      </c>
      <c r="M136" s="4">
        <v>3</v>
      </c>
      <c r="N136" s="4" t="s">
        <v>3</v>
      </c>
      <c r="O136" s="4">
        <v>2</v>
      </c>
      <c r="P136" s="4"/>
      <c r="Q136" s="4"/>
      <c r="R136" s="4"/>
      <c r="S136" s="4"/>
      <c r="T136" s="4"/>
      <c r="U136" s="4"/>
      <c r="V136" s="4"/>
      <c r="W136" s="4"/>
    </row>
    <row r="137" spans="1:23">
      <c r="A137" s="4">
        <v>50</v>
      </c>
      <c r="B137" s="4">
        <v>0</v>
      </c>
      <c r="C137" s="4">
        <v>0</v>
      </c>
      <c r="D137" s="4">
        <v>1</v>
      </c>
      <c r="E137" s="4">
        <v>231</v>
      </c>
      <c r="F137" s="4">
        <f>ROUND(Source!BB124,O137)</f>
        <v>0</v>
      </c>
      <c r="G137" s="4" t="s">
        <v>91</v>
      </c>
      <c r="H137" s="4" t="s">
        <v>92</v>
      </c>
      <c r="I137" s="4"/>
      <c r="J137" s="4"/>
      <c r="K137" s="4">
        <v>231</v>
      </c>
      <c r="L137" s="4">
        <v>12</v>
      </c>
      <c r="M137" s="4">
        <v>3</v>
      </c>
      <c r="N137" s="4" t="s">
        <v>3</v>
      </c>
      <c r="O137" s="4">
        <v>2</v>
      </c>
      <c r="P137" s="4"/>
      <c r="Q137" s="4"/>
      <c r="R137" s="4"/>
      <c r="S137" s="4"/>
      <c r="T137" s="4"/>
      <c r="U137" s="4"/>
      <c r="V137" s="4"/>
      <c r="W137" s="4"/>
    </row>
    <row r="138" spans="1:23">
      <c r="A138" s="4">
        <v>50</v>
      </c>
      <c r="B138" s="4">
        <v>0</v>
      </c>
      <c r="C138" s="4">
        <v>0</v>
      </c>
      <c r="D138" s="4">
        <v>1</v>
      </c>
      <c r="E138" s="4">
        <v>204</v>
      </c>
      <c r="F138" s="4">
        <f>ROUND(Source!R124,O138)</f>
        <v>139.97999999999999</v>
      </c>
      <c r="G138" s="4" t="s">
        <v>93</v>
      </c>
      <c r="H138" s="4" t="s">
        <v>94</v>
      </c>
      <c r="I138" s="4"/>
      <c r="J138" s="4"/>
      <c r="K138" s="4">
        <v>204</v>
      </c>
      <c r="L138" s="4">
        <v>13</v>
      </c>
      <c r="M138" s="4">
        <v>3</v>
      </c>
      <c r="N138" s="4" t="s">
        <v>3</v>
      </c>
      <c r="O138" s="4">
        <v>2</v>
      </c>
      <c r="P138" s="4"/>
      <c r="Q138" s="4"/>
      <c r="R138" s="4"/>
      <c r="S138" s="4"/>
      <c r="T138" s="4"/>
      <c r="U138" s="4"/>
      <c r="V138" s="4"/>
      <c r="W138" s="4"/>
    </row>
    <row r="139" spans="1:23">
      <c r="A139" s="4">
        <v>50</v>
      </c>
      <c r="B139" s="4">
        <v>0</v>
      </c>
      <c r="C139" s="4">
        <v>0</v>
      </c>
      <c r="D139" s="4">
        <v>1</v>
      </c>
      <c r="E139" s="4">
        <v>205</v>
      </c>
      <c r="F139" s="4">
        <f>ROUND(Source!S124,O139)</f>
        <v>9274.74</v>
      </c>
      <c r="G139" s="4" t="s">
        <v>95</v>
      </c>
      <c r="H139" s="4" t="s">
        <v>96</v>
      </c>
      <c r="I139" s="4"/>
      <c r="J139" s="4"/>
      <c r="K139" s="4">
        <v>205</v>
      </c>
      <c r="L139" s="4">
        <v>14</v>
      </c>
      <c r="M139" s="4">
        <v>3</v>
      </c>
      <c r="N139" s="4" t="s">
        <v>3</v>
      </c>
      <c r="O139" s="4">
        <v>2</v>
      </c>
      <c r="P139" s="4"/>
      <c r="Q139" s="4"/>
      <c r="R139" s="4"/>
      <c r="S139" s="4"/>
      <c r="T139" s="4"/>
      <c r="U139" s="4"/>
      <c r="V139" s="4"/>
      <c r="W139" s="4"/>
    </row>
    <row r="140" spans="1:23">
      <c r="A140" s="4">
        <v>50</v>
      </c>
      <c r="B140" s="4">
        <v>0</v>
      </c>
      <c r="C140" s="4">
        <v>0</v>
      </c>
      <c r="D140" s="4">
        <v>1</v>
      </c>
      <c r="E140" s="4">
        <v>232</v>
      </c>
      <c r="F140" s="4">
        <f>ROUND(Source!BC124,O140)</f>
        <v>0</v>
      </c>
      <c r="G140" s="4" t="s">
        <v>97</v>
      </c>
      <c r="H140" s="4" t="s">
        <v>98</v>
      </c>
      <c r="I140" s="4"/>
      <c r="J140" s="4"/>
      <c r="K140" s="4">
        <v>232</v>
      </c>
      <c r="L140" s="4">
        <v>15</v>
      </c>
      <c r="M140" s="4">
        <v>3</v>
      </c>
      <c r="N140" s="4" t="s">
        <v>3</v>
      </c>
      <c r="O140" s="4">
        <v>2</v>
      </c>
      <c r="P140" s="4"/>
      <c r="Q140" s="4"/>
      <c r="R140" s="4"/>
      <c r="S140" s="4"/>
      <c r="T140" s="4"/>
      <c r="U140" s="4"/>
      <c r="V140" s="4"/>
      <c r="W140" s="4"/>
    </row>
    <row r="141" spans="1:23">
      <c r="A141" s="4">
        <v>50</v>
      </c>
      <c r="B141" s="4">
        <v>0</v>
      </c>
      <c r="C141" s="4">
        <v>0</v>
      </c>
      <c r="D141" s="4">
        <v>1</v>
      </c>
      <c r="E141" s="4">
        <v>214</v>
      </c>
      <c r="F141" s="4">
        <f>ROUND(Source!AS124,O141)</f>
        <v>38688.370000000003</v>
      </c>
      <c r="G141" s="4" t="s">
        <v>99</v>
      </c>
      <c r="H141" s="4" t="s">
        <v>100</v>
      </c>
      <c r="I141" s="4"/>
      <c r="J141" s="4"/>
      <c r="K141" s="4">
        <v>214</v>
      </c>
      <c r="L141" s="4">
        <v>16</v>
      </c>
      <c r="M141" s="4">
        <v>3</v>
      </c>
      <c r="N141" s="4" t="s">
        <v>3</v>
      </c>
      <c r="O141" s="4">
        <v>2</v>
      </c>
      <c r="P141" s="4"/>
      <c r="Q141" s="4"/>
      <c r="R141" s="4"/>
      <c r="S141" s="4"/>
      <c r="T141" s="4"/>
      <c r="U141" s="4"/>
      <c r="V141" s="4"/>
      <c r="W141" s="4"/>
    </row>
    <row r="142" spans="1:23">
      <c r="A142" s="4">
        <v>50</v>
      </c>
      <c r="B142" s="4">
        <v>0</v>
      </c>
      <c r="C142" s="4">
        <v>0</v>
      </c>
      <c r="D142" s="4">
        <v>1</v>
      </c>
      <c r="E142" s="4">
        <v>215</v>
      </c>
      <c r="F142" s="4">
        <f>ROUND(Source!AT124,O142)</f>
        <v>0</v>
      </c>
      <c r="G142" s="4" t="s">
        <v>101</v>
      </c>
      <c r="H142" s="4" t="s">
        <v>102</v>
      </c>
      <c r="I142" s="4"/>
      <c r="J142" s="4"/>
      <c r="K142" s="4">
        <v>215</v>
      </c>
      <c r="L142" s="4">
        <v>17</v>
      </c>
      <c r="M142" s="4">
        <v>3</v>
      </c>
      <c r="N142" s="4" t="s">
        <v>3</v>
      </c>
      <c r="O142" s="4">
        <v>2</v>
      </c>
      <c r="P142" s="4"/>
      <c r="Q142" s="4"/>
      <c r="R142" s="4"/>
      <c r="S142" s="4"/>
      <c r="T142" s="4"/>
      <c r="U142" s="4"/>
      <c r="V142" s="4"/>
      <c r="W142" s="4"/>
    </row>
    <row r="143" spans="1:23">
      <c r="A143" s="4">
        <v>50</v>
      </c>
      <c r="B143" s="4">
        <v>0</v>
      </c>
      <c r="C143" s="4">
        <v>0</v>
      </c>
      <c r="D143" s="4">
        <v>1</v>
      </c>
      <c r="E143" s="4">
        <v>217</v>
      </c>
      <c r="F143" s="4">
        <f>ROUND(Source!AU124,O143)</f>
        <v>0</v>
      </c>
      <c r="G143" s="4" t="s">
        <v>103</v>
      </c>
      <c r="H143" s="4" t="s">
        <v>104</v>
      </c>
      <c r="I143" s="4"/>
      <c r="J143" s="4"/>
      <c r="K143" s="4">
        <v>217</v>
      </c>
      <c r="L143" s="4">
        <v>18</v>
      </c>
      <c r="M143" s="4">
        <v>3</v>
      </c>
      <c r="N143" s="4" t="s">
        <v>3</v>
      </c>
      <c r="O143" s="4">
        <v>2</v>
      </c>
      <c r="P143" s="4"/>
      <c r="Q143" s="4"/>
      <c r="R143" s="4"/>
      <c r="S143" s="4"/>
      <c r="T143" s="4"/>
      <c r="U143" s="4"/>
      <c r="V143" s="4"/>
      <c r="W143" s="4"/>
    </row>
    <row r="144" spans="1:23">
      <c r="A144" s="4">
        <v>50</v>
      </c>
      <c r="B144" s="4">
        <v>0</v>
      </c>
      <c r="C144" s="4">
        <v>0</v>
      </c>
      <c r="D144" s="4">
        <v>1</v>
      </c>
      <c r="E144" s="4">
        <v>230</v>
      </c>
      <c r="F144" s="4">
        <f>ROUND(Source!BA124,O144)</f>
        <v>0</v>
      </c>
      <c r="G144" s="4" t="s">
        <v>105</v>
      </c>
      <c r="H144" s="4" t="s">
        <v>106</v>
      </c>
      <c r="I144" s="4"/>
      <c r="J144" s="4"/>
      <c r="K144" s="4">
        <v>230</v>
      </c>
      <c r="L144" s="4">
        <v>19</v>
      </c>
      <c r="M144" s="4">
        <v>3</v>
      </c>
      <c r="N144" s="4" t="s">
        <v>3</v>
      </c>
      <c r="O144" s="4">
        <v>2</v>
      </c>
      <c r="P144" s="4"/>
      <c r="Q144" s="4"/>
      <c r="R144" s="4"/>
      <c r="S144" s="4"/>
      <c r="T144" s="4"/>
      <c r="U144" s="4"/>
      <c r="V144" s="4"/>
      <c r="W144" s="4"/>
    </row>
    <row r="145" spans="1:206">
      <c r="A145" s="4">
        <v>50</v>
      </c>
      <c r="B145" s="4">
        <v>0</v>
      </c>
      <c r="C145" s="4">
        <v>0</v>
      </c>
      <c r="D145" s="4">
        <v>1</v>
      </c>
      <c r="E145" s="4">
        <v>206</v>
      </c>
      <c r="F145" s="4">
        <f>ROUND(Source!T124,O145)</f>
        <v>0</v>
      </c>
      <c r="G145" s="4" t="s">
        <v>107</v>
      </c>
      <c r="H145" s="4" t="s">
        <v>108</v>
      </c>
      <c r="I145" s="4"/>
      <c r="J145" s="4"/>
      <c r="K145" s="4">
        <v>206</v>
      </c>
      <c r="L145" s="4">
        <v>20</v>
      </c>
      <c r="M145" s="4">
        <v>3</v>
      </c>
      <c r="N145" s="4" t="s">
        <v>3</v>
      </c>
      <c r="O145" s="4">
        <v>2</v>
      </c>
      <c r="P145" s="4"/>
      <c r="Q145" s="4"/>
      <c r="R145" s="4"/>
      <c r="S145" s="4"/>
      <c r="T145" s="4"/>
      <c r="U145" s="4"/>
      <c r="V145" s="4"/>
      <c r="W145" s="4"/>
    </row>
    <row r="146" spans="1:206">
      <c r="A146" s="4">
        <v>50</v>
      </c>
      <c r="B146" s="4">
        <v>0</v>
      </c>
      <c r="C146" s="4">
        <v>0</v>
      </c>
      <c r="D146" s="4">
        <v>1</v>
      </c>
      <c r="E146" s="4">
        <v>207</v>
      </c>
      <c r="F146" s="4">
        <f>Source!U124</f>
        <v>33.775839999999995</v>
      </c>
      <c r="G146" s="4" t="s">
        <v>109</v>
      </c>
      <c r="H146" s="4" t="s">
        <v>110</v>
      </c>
      <c r="I146" s="4"/>
      <c r="J146" s="4"/>
      <c r="K146" s="4">
        <v>207</v>
      </c>
      <c r="L146" s="4">
        <v>21</v>
      </c>
      <c r="M146" s="4">
        <v>3</v>
      </c>
      <c r="N146" s="4" t="s">
        <v>3</v>
      </c>
      <c r="O146" s="4">
        <v>-1</v>
      </c>
      <c r="P146" s="4"/>
      <c r="Q146" s="4"/>
      <c r="R146" s="4"/>
      <c r="S146" s="4"/>
      <c r="T146" s="4"/>
      <c r="U146" s="4"/>
      <c r="V146" s="4"/>
      <c r="W146" s="4"/>
    </row>
    <row r="147" spans="1:206">
      <c r="A147" s="4">
        <v>50</v>
      </c>
      <c r="B147" s="4">
        <v>0</v>
      </c>
      <c r="C147" s="4">
        <v>0</v>
      </c>
      <c r="D147" s="4">
        <v>1</v>
      </c>
      <c r="E147" s="4">
        <v>208</v>
      </c>
      <c r="F147" s="4">
        <f>Source!V124</f>
        <v>0</v>
      </c>
      <c r="G147" s="4" t="s">
        <v>111</v>
      </c>
      <c r="H147" s="4" t="s">
        <v>112</v>
      </c>
      <c r="I147" s="4"/>
      <c r="J147" s="4"/>
      <c r="K147" s="4">
        <v>208</v>
      </c>
      <c r="L147" s="4">
        <v>22</v>
      </c>
      <c r="M147" s="4">
        <v>3</v>
      </c>
      <c r="N147" s="4" t="s">
        <v>3</v>
      </c>
      <c r="O147" s="4">
        <v>-1</v>
      </c>
      <c r="P147" s="4"/>
      <c r="Q147" s="4"/>
      <c r="R147" s="4"/>
      <c r="S147" s="4"/>
      <c r="T147" s="4"/>
      <c r="U147" s="4"/>
      <c r="V147" s="4"/>
      <c r="W147" s="4"/>
    </row>
    <row r="148" spans="1:206">
      <c r="A148" s="4">
        <v>50</v>
      </c>
      <c r="B148" s="4">
        <v>0</v>
      </c>
      <c r="C148" s="4">
        <v>0</v>
      </c>
      <c r="D148" s="4">
        <v>1</v>
      </c>
      <c r="E148" s="4">
        <v>209</v>
      </c>
      <c r="F148" s="4">
        <f>ROUND(Source!W124,O148)</f>
        <v>0</v>
      </c>
      <c r="G148" s="4" t="s">
        <v>113</v>
      </c>
      <c r="H148" s="4" t="s">
        <v>114</v>
      </c>
      <c r="I148" s="4"/>
      <c r="J148" s="4"/>
      <c r="K148" s="4">
        <v>209</v>
      </c>
      <c r="L148" s="4">
        <v>23</v>
      </c>
      <c r="M148" s="4">
        <v>3</v>
      </c>
      <c r="N148" s="4" t="s">
        <v>3</v>
      </c>
      <c r="O148" s="4">
        <v>2</v>
      </c>
      <c r="P148" s="4"/>
      <c r="Q148" s="4"/>
      <c r="R148" s="4"/>
      <c r="S148" s="4"/>
      <c r="T148" s="4"/>
      <c r="U148" s="4"/>
      <c r="V148" s="4"/>
      <c r="W148" s="4"/>
    </row>
    <row r="149" spans="1:206">
      <c r="A149" s="4">
        <v>50</v>
      </c>
      <c r="B149" s="4">
        <v>0</v>
      </c>
      <c r="C149" s="4">
        <v>0</v>
      </c>
      <c r="D149" s="4">
        <v>1</v>
      </c>
      <c r="E149" s="4">
        <v>233</v>
      </c>
      <c r="F149" s="4">
        <f>ROUND(Source!BD124,O149)</f>
        <v>0</v>
      </c>
      <c r="G149" s="4" t="s">
        <v>115</v>
      </c>
      <c r="H149" s="4" t="s">
        <v>116</v>
      </c>
      <c r="I149" s="4"/>
      <c r="J149" s="4"/>
      <c r="K149" s="4">
        <v>233</v>
      </c>
      <c r="L149" s="4">
        <v>24</v>
      </c>
      <c r="M149" s="4">
        <v>3</v>
      </c>
      <c r="N149" s="4" t="s">
        <v>3</v>
      </c>
      <c r="O149" s="4">
        <v>2</v>
      </c>
      <c r="P149" s="4"/>
      <c r="Q149" s="4"/>
      <c r="R149" s="4"/>
      <c r="S149" s="4"/>
      <c r="T149" s="4"/>
      <c r="U149" s="4"/>
      <c r="V149" s="4"/>
      <c r="W149" s="4"/>
    </row>
    <row r="150" spans="1:206">
      <c r="A150" s="4">
        <v>50</v>
      </c>
      <c r="B150" s="4">
        <v>0</v>
      </c>
      <c r="C150" s="4">
        <v>0</v>
      </c>
      <c r="D150" s="4">
        <v>1</v>
      </c>
      <c r="E150" s="4">
        <v>210</v>
      </c>
      <c r="F150" s="4">
        <f>ROUND(Source!X124,O150)</f>
        <v>12149.91</v>
      </c>
      <c r="G150" s="4" t="s">
        <v>117</v>
      </c>
      <c r="H150" s="4" t="s">
        <v>118</v>
      </c>
      <c r="I150" s="4"/>
      <c r="J150" s="4"/>
      <c r="K150" s="4">
        <v>210</v>
      </c>
      <c r="L150" s="4">
        <v>25</v>
      </c>
      <c r="M150" s="4">
        <v>3</v>
      </c>
      <c r="N150" s="4" t="s">
        <v>3</v>
      </c>
      <c r="O150" s="4">
        <v>2</v>
      </c>
      <c r="P150" s="4"/>
      <c r="Q150" s="4"/>
      <c r="R150" s="4"/>
      <c r="S150" s="4"/>
      <c r="T150" s="4"/>
      <c r="U150" s="4"/>
      <c r="V150" s="4"/>
      <c r="W150" s="4"/>
    </row>
    <row r="151" spans="1:206">
      <c r="A151" s="4">
        <v>50</v>
      </c>
      <c r="B151" s="4">
        <v>0</v>
      </c>
      <c r="C151" s="4">
        <v>0</v>
      </c>
      <c r="D151" s="4">
        <v>1</v>
      </c>
      <c r="E151" s="4">
        <v>211</v>
      </c>
      <c r="F151" s="4">
        <f>ROUND(Source!Y124,O151)</f>
        <v>5008.3599999999997</v>
      </c>
      <c r="G151" s="4" t="s">
        <v>119</v>
      </c>
      <c r="H151" s="4" t="s">
        <v>120</v>
      </c>
      <c r="I151" s="4"/>
      <c r="J151" s="4"/>
      <c r="K151" s="4">
        <v>211</v>
      </c>
      <c r="L151" s="4">
        <v>26</v>
      </c>
      <c r="M151" s="4">
        <v>3</v>
      </c>
      <c r="N151" s="4" t="s">
        <v>3</v>
      </c>
      <c r="O151" s="4">
        <v>2</v>
      </c>
      <c r="P151" s="4"/>
      <c r="Q151" s="4"/>
      <c r="R151" s="4"/>
      <c r="S151" s="4"/>
      <c r="T151" s="4"/>
      <c r="U151" s="4"/>
      <c r="V151" s="4"/>
      <c r="W151" s="4"/>
    </row>
    <row r="152" spans="1:206">
      <c r="A152" s="4">
        <v>50</v>
      </c>
      <c r="B152" s="4">
        <v>0</v>
      </c>
      <c r="C152" s="4">
        <v>0</v>
      </c>
      <c r="D152" s="4">
        <v>1</v>
      </c>
      <c r="E152" s="4">
        <v>224</v>
      </c>
      <c r="F152" s="4">
        <f>ROUND(Source!AR124,O152)</f>
        <v>38688.370000000003</v>
      </c>
      <c r="G152" s="4" t="s">
        <v>121</v>
      </c>
      <c r="H152" s="4" t="s">
        <v>122</v>
      </c>
      <c r="I152" s="4"/>
      <c r="J152" s="4"/>
      <c r="K152" s="4">
        <v>224</v>
      </c>
      <c r="L152" s="4">
        <v>27</v>
      </c>
      <c r="M152" s="4">
        <v>3</v>
      </c>
      <c r="N152" s="4" t="s">
        <v>3</v>
      </c>
      <c r="O152" s="4">
        <v>2</v>
      </c>
      <c r="P152" s="4"/>
      <c r="Q152" s="4"/>
      <c r="R152" s="4"/>
      <c r="S152" s="4"/>
      <c r="T152" s="4"/>
      <c r="U152" s="4"/>
      <c r="V152" s="4"/>
      <c r="W152" s="4"/>
    </row>
    <row r="154" spans="1:206">
      <c r="A154" s="1">
        <v>4</v>
      </c>
      <c r="B154" s="1">
        <v>1</v>
      </c>
      <c r="C154" s="1"/>
      <c r="D154" s="1">
        <f>ROW(A158)</f>
        <v>158</v>
      </c>
      <c r="E154" s="1"/>
      <c r="F154" s="1" t="s">
        <v>13</v>
      </c>
      <c r="G154" s="1" t="s">
        <v>3</v>
      </c>
      <c r="H154" s="1" t="s">
        <v>3</v>
      </c>
      <c r="I154" s="1">
        <v>0</v>
      </c>
      <c r="J154" s="1"/>
      <c r="K154" s="1">
        <v>-1</v>
      </c>
      <c r="L154" s="1"/>
      <c r="M154" s="1"/>
      <c r="N154" s="1"/>
      <c r="O154" s="1"/>
      <c r="P154" s="1"/>
      <c r="Q154" s="1"/>
      <c r="R154" s="1"/>
      <c r="S154" s="1"/>
      <c r="T154" s="1"/>
      <c r="U154" s="1" t="s">
        <v>3</v>
      </c>
      <c r="V154" s="1">
        <v>0</v>
      </c>
      <c r="W154" s="1"/>
      <c r="X154" s="1"/>
      <c r="Y154" s="1"/>
      <c r="Z154" s="1"/>
      <c r="AA154" s="1"/>
      <c r="AB154" s="1" t="s">
        <v>3</v>
      </c>
      <c r="AC154" s="1" t="s">
        <v>3</v>
      </c>
      <c r="AD154" s="1" t="s">
        <v>3</v>
      </c>
      <c r="AE154" s="1" t="s">
        <v>3</v>
      </c>
      <c r="AF154" s="1" t="s">
        <v>3</v>
      </c>
      <c r="AG154" s="1" t="s">
        <v>3</v>
      </c>
      <c r="AH154" s="1"/>
      <c r="AI154" s="1"/>
      <c r="AJ154" s="1"/>
      <c r="AK154" s="1"/>
      <c r="AL154" s="1"/>
      <c r="AM154" s="1"/>
      <c r="AN154" s="1"/>
      <c r="AO154" s="1"/>
      <c r="AP154" s="1" t="s">
        <v>3</v>
      </c>
      <c r="AQ154" s="1" t="s">
        <v>3</v>
      </c>
      <c r="AR154" s="1" t="s">
        <v>3</v>
      </c>
      <c r="AS154" s="1"/>
      <c r="AT154" s="1"/>
      <c r="AU154" s="1"/>
      <c r="AV154" s="1"/>
      <c r="AW154" s="1"/>
      <c r="AX154" s="1"/>
      <c r="AY154" s="1"/>
      <c r="AZ154" s="1" t="s">
        <v>3</v>
      </c>
      <c r="BA154" s="1"/>
      <c r="BB154" s="1" t="s">
        <v>3</v>
      </c>
      <c r="BC154" s="1" t="s">
        <v>3</v>
      </c>
      <c r="BD154" s="1" t="s">
        <v>3</v>
      </c>
      <c r="BE154" s="1" t="s">
        <v>3</v>
      </c>
      <c r="BF154" s="1" t="s">
        <v>3</v>
      </c>
      <c r="BG154" s="1" t="s">
        <v>3</v>
      </c>
      <c r="BH154" s="1" t="s">
        <v>3</v>
      </c>
      <c r="BI154" s="1" t="s">
        <v>3</v>
      </c>
      <c r="BJ154" s="1" t="s">
        <v>3</v>
      </c>
      <c r="BK154" s="1" t="s">
        <v>3</v>
      </c>
      <c r="BL154" s="1" t="s">
        <v>3</v>
      </c>
      <c r="BM154" s="1" t="s">
        <v>3</v>
      </c>
      <c r="BN154" s="1" t="s">
        <v>3</v>
      </c>
      <c r="BO154" s="1" t="s">
        <v>3</v>
      </c>
      <c r="BP154" s="1" t="s">
        <v>3</v>
      </c>
      <c r="BQ154" s="1"/>
      <c r="BR154" s="1"/>
      <c r="BS154" s="1"/>
      <c r="BT154" s="1"/>
      <c r="BU154" s="1"/>
      <c r="BV154" s="1"/>
      <c r="BW154" s="1"/>
      <c r="BX154" s="1">
        <v>0</v>
      </c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>
        <v>0</v>
      </c>
    </row>
    <row r="156" spans="1:206">
      <c r="A156" s="2">
        <v>52</v>
      </c>
      <c r="B156" s="2">
        <f t="shared" ref="B156:G156" si="125">B158</f>
        <v>1</v>
      </c>
      <c r="C156" s="2">
        <f t="shared" si="125"/>
        <v>4</v>
      </c>
      <c r="D156" s="2">
        <f t="shared" si="125"/>
        <v>154</v>
      </c>
      <c r="E156" s="2">
        <f t="shared" si="125"/>
        <v>0</v>
      </c>
      <c r="F156" s="2" t="str">
        <f t="shared" si="125"/>
        <v>Новый раздел</v>
      </c>
      <c r="G156" s="2" t="str">
        <f t="shared" si="125"/>
        <v/>
      </c>
      <c r="H156" s="2"/>
      <c r="I156" s="2"/>
      <c r="J156" s="2"/>
      <c r="K156" s="2"/>
      <c r="L156" s="2"/>
      <c r="M156" s="2"/>
      <c r="N156" s="2"/>
      <c r="O156" s="2">
        <f t="shared" ref="O156:AT156" si="126">O158</f>
        <v>0</v>
      </c>
      <c r="P156" s="2">
        <f t="shared" si="126"/>
        <v>0</v>
      </c>
      <c r="Q156" s="2">
        <f t="shared" si="126"/>
        <v>0</v>
      </c>
      <c r="R156" s="2">
        <f t="shared" si="126"/>
        <v>0</v>
      </c>
      <c r="S156" s="2">
        <f t="shared" si="126"/>
        <v>0</v>
      </c>
      <c r="T156" s="2">
        <f t="shared" si="126"/>
        <v>0</v>
      </c>
      <c r="U156" s="2">
        <f t="shared" si="126"/>
        <v>0</v>
      </c>
      <c r="V156" s="2">
        <f t="shared" si="126"/>
        <v>0</v>
      </c>
      <c r="W156" s="2">
        <f t="shared" si="126"/>
        <v>0</v>
      </c>
      <c r="X156" s="2">
        <f t="shared" si="126"/>
        <v>0</v>
      </c>
      <c r="Y156" s="2">
        <f t="shared" si="126"/>
        <v>0</v>
      </c>
      <c r="Z156" s="2">
        <f t="shared" si="126"/>
        <v>0</v>
      </c>
      <c r="AA156" s="2">
        <f t="shared" si="126"/>
        <v>0</v>
      </c>
      <c r="AB156" s="2">
        <f t="shared" si="126"/>
        <v>0</v>
      </c>
      <c r="AC156" s="2">
        <f t="shared" si="126"/>
        <v>0</v>
      </c>
      <c r="AD156" s="2">
        <f t="shared" si="126"/>
        <v>0</v>
      </c>
      <c r="AE156" s="2">
        <f t="shared" si="126"/>
        <v>0</v>
      </c>
      <c r="AF156" s="2">
        <f t="shared" si="126"/>
        <v>0</v>
      </c>
      <c r="AG156" s="2">
        <f t="shared" si="126"/>
        <v>0</v>
      </c>
      <c r="AH156" s="2">
        <f t="shared" si="126"/>
        <v>0</v>
      </c>
      <c r="AI156" s="2">
        <f t="shared" si="126"/>
        <v>0</v>
      </c>
      <c r="AJ156" s="2">
        <f t="shared" si="126"/>
        <v>0</v>
      </c>
      <c r="AK156" s="2">
        <f t="shared" si="126"/>
        <v>0</v>
      </c>
      <c r="AL156" s="2">
        <f t="shared" si="126"/>
        <v>0</v>
      </c>
      <c r="AM156" s="2">
        <f t="shared" si="126"/>
        <v>0</v>
      </c>
      <c r="AN156" s="2">
        <f t="shared" si="126"/>
        <v>0</v>
      </c>
      <c r="AO156" s="2">
        <f t="shared" si="126"/>
        <v>0</v>
      </c>
      <c r="AP156" s="2">
        <f t="shared" si="126"/>
        <v>0</v>
      </c>
      <c r="AQ156" s="2">
        <f t="shared" si="126"/>
        <v>0</v>
      </c>
      <c r="AR156" s="2">
        <f t="shared" si="126"/>
        <v>0</v>
      </c>
      <c r="AS156" s="2">
        <f t="shared" si="126"/>
        <v>0</v>
      </c>
      <c r="AT156" s="2">
        <f t="shared" si="126"/>
        <v>0</v>
      </c>
      <c r="AU156" s="2">
        <f t="shared" ref="AU156:BZ156" si="127">AU158</f>
        <v>0</v>
      </c>
      <c r="AV156" s="2">
        <f t="shared" si="127"/>
        <v>0</v>
      </c>
      <c r="AW156" s="2">
        <f t="shared" si="127"/>
        <v>0</v>
      </c>
      <c r="AX156" s="2">
        <f t="shared" si="127"/>
        <v>0</v>
      </c>
      <c r="AY156" s="2">
        <f t="shared" si="127"/>
        <v>0</v>
      </c>
      <c r="AZ156" s="2">
        <f t="shared" si="127"/>
        <v>0</v>
      </c>
      <c r="BA156" s="2">
        <f t="shared" si="127"/>
        <v>0</v>
      </c>
      <c r="BB156" s="2">
        <f t="shared" si="127"/>
        <v>0</v>
      </c>
      <c r="BC156" s="2">
        <f t="shared" si="127"/>
        <v>0</v>
      </c>
      <c r="BD156" s="2">
        <f t="shared" si="127"/>
        <v>0</v>
      </c>
      <c r="BE156" s="2">
        <f t="shared" si="127"/>
        <v>0</v>
      </c>
      <c r="BF156" s="2">
        <f t="shared" si="127"/>
        <v>0</v>
      </c>
      <c r="BG156" s="2">
        <f t="shared" si="127"/>
        <v>0</v>
      </c>
      <c r="BH156" s="2">
        <f t="shared" si="127"/>
        <v>0</v>
      </c>
      <c r="BI156" s="2">
        <f t="shared" si="127"/>
        <v>0</v>
      </c>
      <c r="BJ156" s="2">
        <f t="shared" si="127"/>
        <v>0</v>
      </c>
      <c r="BK156" s="2">
        <f t="shared" si="127"/>
        <v>0</v>
      </c>
      <c r="BL156" s="2">
        <f t="shared" si="127"/>
        <v>0</v>
      </c>
      <c r="BM156" s="2">
        <f t="shared" si="127"/>
        <v>0</v>
      </c>
      <c r="BN156" s="2">
        <f t="shared" si="127"/>
        <v>0</v>
      </c>
      <c r="BO156" s="2">
        <f t="shared" si="127"/>
        <v>0</v>
      </c>
      <c r="BP156" s="2">
        <f t="shared" si="127"/>
        <v>0</v>
      </c>
      <c r="BQ156" s="2">
        <f t="shared" si="127"/>
        <v>0</v>
      </c>
      <c r="BR156" s="2">
        <f t="shared" si="127"/>
        <v>0</v>
      </c>
      <c r="BS156" s="2">
        <f t="shared" si="127"/>
        <v>0</v>
      </c>
      <c r="BT156" s="2">
        <f t="shared" si="127"/>
        <v>0</v>
      </c>
      <c r="BU156" s="2">
        <f t="shared" si="127"/>
        <v>0</v>
      </c>
      <c r="BV156" s="2">
        <f t="shared" si="127"/>
        <v>0</v>
      </c>
      <c r="BW156" s="2">
        <f t="shared" si="127"/>
        <v>0</v>
      </c>
      <c r="BX156" s="2">
        <f t="shared" si="127"/>
        <v>0</v>
      </c>
      <c r="BY156" s="2">
        <f t="shared" si="127"/>
        <v>0</v>
      </c>
      <c r="BZ156" s="2">
        <f t="shared" si="127"/>
        <v>0</v>
      </c>
      <c r="CA156" s="2">
        <f t="shared" ref="CA156:DF156" si="128">CA158</f>
        <v>0</v>
      </c>
      <c r="CB156" s="2">
        <f t="shared" si="128"/>
        <v>0</v>
      </c>
      <c r="CC156" s="2">
        <f t="shared" si="128"/>
        <v>0</v>
      </c>
      <c r="CD156" s="2">
        <f t="shared" si="128"/>
        <v>0</v>
      </c>
      <c r="CE156" s="2">
        <f t="shared" si="128"/>
        <v>0</v>
      </c>
      <c r="CF156" s="2">
        <f t="shared" si="128"/>
        <v>0</v>
      </c>
      <c r="CG156" s="2">
        <f t="shared" si="128"/>
        <v>0</v>
      </c>
      <c r="CH156" s="2">
        <f t="shared" si="128"/>
        <v>0</v>
      </c>
      <c r="CI156" s="2">
        <f t="shared" si="128"/>
        <v>0</v>
      </c>
      <c r="CJ156" s="2">
        <f t="shared" si="128"/>
        <v>0</v>
      </c>
      <c r="CK156" s="2">
        <f t="shared" si="128"/>
        <v>0</v>
      </c>
      <c r="CL156" s="2">
        <f t="shared" si="128"/>
        <v>0</v>
      </c>
      <c r="CM156" s="2">
        <f t="shared" si="128"/>
        <v>0</v>
      </c>
      <c r="CN156" s="2">
        <f t="shared" si="128"/>
        <v>0</v>
      </c>
      <c r="CO156" s="2">
        <f t="shared" si="128"/>
        <v>0</v>
      </c>
      <c r="CP156" s="2">
        <f t="shared" si="128"/>
        <v>0</v>
      </c>
      <c r="CQ156" s="2">
        <f t="shared" si="128"/>
        <v>0</v>
      </c>
      <c r="CR156" s="2">
        <f t="shared" si="128"/>
        <v>0</v>
      </c>
      <c r="CS156" s="2">
        <f t="shared" si="128"/>
        <v>0</v>
      </c>
      <c r="CT156" s="2">
        <f t="shared" si="128"/>
        <v>0</v>
      </c>
      <c r="CU156" s="2">
        <f t="shared" si="128"/>
        <v>0</v>
      </c>
      <c r="CV156" s="2">
        <f t="shared" si="128"/>
        <v>0</v>
      </c>
      <c r="CW156" s="2">
        <f t="shared" si="128"/>
        <v>0</v>
      </c>
      <c r="CX156" s="2">
        <f t="shared" si="128"/>
        <v>0</v>
      </c>
      <c r="CY156" s="2">
        <f t="shared" si="128"/>
        <v>0</v>
      </c>
      <c r="CZ156" s="2">
        <f t="shared" si="128"/>
        <v>0</v>
      </c>
      <c r="DA156" s="2">
        <f t="shared" si="128"/>
        <v>0</v>
      </c>
      <c r="DB156" s="2">
        <f t="shared" si="128"/>
        <v>0</v>
      </c>
      <c r="DC156" s="2">
        <f t="shared" si="128"/>
        <v>0</v>
      </c>
      <c r="DD156" s="2">
        <f t="shared" si="128"/>
        <v>0</v>
      </c>
      <c r="DE156" s="2">
        <f t="shared" si="128"/>
        <v>0</v>
      </c>
      <c r="DF156" s="2">
        <f t="shared" si="128"/>
        <v>0</v>
      </c>
      <c r="DG156" s="3">
        <f t="shared" ref="DG156:EL156" si="129">DG158</f>
        <v>0</v>
      </c>
      <c r="DH156" s="3">
        <f t="shared" si="129"/>
        <v>0</v>
      </c>
      <c r="DI156" s="3">
        <f t="shared" si="129"/>
        <v>0</v>
      </c>
      <c r="DJ156" s="3">
        <f t="shared" si="129"/>
        <v>0</v>
      </c>
      <c r="DK156" s="3">
        <f t="shared" si="129"/>
        <v>0</v>
      </c>
      <c r="DL156" s="3">
        <f t="shared" si="129"/>
        <v>0</v>
      </c>
      <c r="DM156" s="3">
        <f t="shared" si="129"/>
        <v>0</v>
      </c>
      <c r="DN156" s="3">
        <f t="shared" si="129"/>
        <v>0</v>
      </c>
      <c r="DO156" s="3">
        <f t="shared" si="129"/>
        <v>0</v>
      </c>
      <c r="DP156" s="3">
        <f t="shared" si="129"/>
        <v>0</v>
      </c>
      <c r="DQ156" s="3">
        <f t="shared" si="129"/>
        <v>0</v>
      </c>
      <c r="DR156" s="3">
        <f t="shared" si="129"/>
        <v>0</v>
      </c>
      <c r="DS156" s="3">
        <f t="shared" si="129"/>
        <v>0</v>
      </c>
      <c r="DT156" s="3">
        <f t="shared" si="129"/>
        <v>0</v>
      </c>
      <c r="DU156" s="3">
        <f t="shared" si="129"/>
        <v>0</v>
      </c>
      <c r="DV156" s="3">
        <f t="shared" si="129"/>
        <v>0</v>
      </c>
      <c r="DW156" s="3">
        <f t="shared" si="129"/>
        <v>0</v>
      </c>
      <c r="DX156" s="3">
        <f t="shared" si="129"/>
        <v>0</v>
      </c>
      <c r="DY156" s="3">
        <f t="shared" si="129"/>
        <v>0</v>
      </c>
      <c r="DZ156" s="3">
        <f t="shared" si="129"/>
        <v>0</v>
      </c>
      <c r="EA156" s="3">
        <f t="shared" si="129"/>
        <v>0</v>
      </c>
      <c r="EB156" s="3">
        <f t="shared" si="129"/>
        <v>0</v>
      </c>
      <c r="EC156" s="3">
        <f t="shared" si="129"/>
        <v>0</v>
      </c>
      <c r="ED156" s="3">
        <f t="shared" si="129"/>
        <v>0</v>
      </c>
      <c r="EE156" s="3">
        <f t="shared" si="129"/>
        <v>0</v>
      </c>
      <c r="EF156" s="3">
        <f t="shared" si="129"/>
        <v>0</v>
      </c>
      <c r="EG156" s="3">
        <f t="shared" si="129"/>
        <v>0</v>
      </c>
      <c r="EH156" s="3">
        <f t="shared" si="129"/>
        <v>0</v>
      </c>
      <c r="EI156" s="3">
        <f t="shared" si="129"/>
        <v>0</v>
      </c>
      <c r="EJ156" s="3">
        <f t="shared" si="129"/>
        <v>0</v>
      </c>
      <c r="EK156" s="3">
        <f t="shared" si="129"/>
        <v>0</v>
      </c>
      <c r="EL156" s="3">
        <f t="shared" si="129"/>
        <v>0</v>
      </c>
      <c r="EM156" s="3">
        <f t="shared" ref="EM156:FR156" si="130">EM158</f>
        <v>0</v>
      </c>
      <c r="EN156" s="3">
        <f t="shared" si="130"/>
        <v>0</v>
      </c>
      <c r="EO156" s="3">
        <f t="shared" si="130"/>
        <v>0</v>
      </c>
      <c r="EP156" s="3">
        <f t="shared" si="130"/>
        <v>0</v>
      </c>
      <c r="EQ156" s="3">
        <f t="shared" si="130"/>
        <v>0</v>
      </c>
      <c r="ER156" s="3">
        <f t="shared" si="130"/>
        <v>0</v>
      </c>
      <c r="ES156" s="3">
        <f t="shared" si="130"/>
        <v>0</v>
      </c>
      <c r="ET156" s="3">
        <f t="shared" si="130"/>
        <v>0</v>
      </c>
      <c r="EU156" s="3">
        <f t="shared" si="130"/>
        <v>0</v>
      </c>
      <c r="EV156" s="3">
        <f t="shared" si="130"/>
        <v>0</v>
      </c>
      <c r="EW156" s="3">
        <f t="shared" si="130"/>
        <v>0</v>
      </c>
      <c r="EX156" s="3">
        <f t="shared" si="130"/>
        <v>0</v>
      </c>
      <c r="EY156" s="3">
        <f t="shared" si="130"/>
        <v>0</v>
      </c>
      <c r="EZ156" s="3">
        <f t="shared" si="130"/>
        <v>0</v>
      </c>
      <c r="FA156" s="3">
        <f t="shared" si="130"/>
        <v>0</v>
      </c>
      <c r="FB156" s="3">
        <f t="shared" si="130"/>
        <v>0</v>
      </c>
      <c r="FC156" s="3">
        <f t="shared" si="130"/>
        <v>0</v>
      </c>
      <c r="FD156" s="3">
        <f t="shared" si="130"/>
        <v>0</v>
      </c>
      <c r="FE156" s="3">
        <f t="shared" si="130"/>
        <v>0</v>
      </c>
      <c r="FF156" s="3">
        <f t="shared" si="130"/>
        <v>0</v>
      </c>
      <c r="FG156" s="3">
        <f t="shared" si="130"/>
        <v>0</v>
      </c>
      <c r="FH156" s="3">
        <f t="shared" si="130"/>
        <v>0</v>
      </c>
      <c r="FI156" s="3">
        <f t="shared" si="130"/>
        <v>0</v>
      </c>
      <c r="FJ156" s="3">
        <f t="shared" si="130"/>
        <v>0</v>
      </c>
      <c r="FK156" s="3">
        <f t="shared" si="130"/>
        <v>0</v>
      </c>
      <c r="FL156" s="3">
        <f t="shared" si="130"/>
        <v>0</v>
      </c>
      <c r="FM156" s="3">
        <f t="shared" si="130"/>
        <v>0</v>
      </c>
      <c r="FN156" s="3">
        <f t="shared" si="130"/>
        <v>0</v>
      </c>
      <c r="FO156" s="3">
        <f t="shared" si="130"/>
        <v>0</v>
      </c>
      <c r="FP156" s="3">
        <f t="shared" si="130"/>
        <v>0</v>
      </c>
      <c r="FQ156" s="3">
        <f t="shared" si="130"/>
        <v>0</v>
      </c>
      <c r="FR156" s="3">
        <f t="shared" si="130"/>
        <v>0</v>
      </c>
      <c r="FS156" s="3">
        <f t="shared" ref="FS156:GX156" si="131">FS158</f>
        <v>0</v>
      </c>
      <c r="FT156" s="3">
        <f t="shared" si="131"/>
        <v>0</v>
      </c>
      <c r="FU156" s="3">
        <f t="shared" si="131"/>
        <v>0</v>
      </c>
      <c r="FV156" s="3">
        <f t="shared" si="131"/>
        <v>0</v>
      </c>
      <c r="FW156" s="3">
        <f t="shared" si="131"/>
        <v>0</v>
      </c>
      <c r="FX156" s="3">
        <f t="shared" si="131"/>
        <v>0</v>
      </c>
      <c r="FY156" s="3">
        <f t="shared" si="131"/>
        <v>0</v>
      </c>
      <c r="FZ156" s="3">
        <f t="shared" si="131"/>
        <v>0</v>
      </c>
      <c r="GA156" s="3">
        <f t="shared" si="131"/>
        <v>0</v>
      </c>
      <c r="GB156" s="3">
        <f t="shared" si="131"/>
        <v>0</v>
      </c>
      <c r="GC156" s="3">
        <f t="shared" si="131"/>
        <v>0</v>
      </c>
      <c r="GD156" s="3">
        <f t="shared" si="131"/>
        <v>0</v>
      </c>
      <c r="GE156" s="3">
        <f t="shared" si="131"/>
        <v>0</v>
      </c>
      <c r="GF156" s="3">
        <f t="shared" si="131"/>
        <v>0</v>
      </c>
      <c r="GG156" s="3">
        <f t="shared" si="131"/>
        <v>0</v>
      </c>
      <c r="GH156" s="3">
        <f t="shared" si="131"/>
        <v>0</v>
      </c>
      <c r="GI156" s="3">
        <f t="shared" si="131"/>
        <v>0</v>
      </c>
      <c r="GJ156" s="3">
        <f t="shared" si="131"/>
        <v>0</v>
      </c>
      <c r="GK156" s="3">
        <f t="shared" si="131"/>
        <v>0</v>
      </c>
      <c r="GL156" s="3">
        <f t="shared" si="131"/>
        <v>0</v>
      </c>
      <c r="GM156" s="3">
        <f t="shared" si="131"/>
        <v>0</v>
      </c>
      <c r="GN156" s="3">
        <f t="shared" si="131"/>
        <v>0</v>
      </c>
      <c r="GO156" s="3">
        <f t="shared" si="131"/>
        <v>0</v>
      </c>
      <c r="GP156" s="3">
        <f t="shared" si="131"/>
        <v>0</v>
      </c>
      <c r="GQ156" s="3">
        <f t="shared" si="131"/>
        <v>0</v>
      </c>
      <c r="GR156" s="3">
        <f t="shared" si="131"/>
        <v>0</v>
      </c>
      <c r="GS156" s="3">
        <f t="shared" si="131"/>
        <v>0</v>
      </c>
      <c r="GT156" s="3">
        <f t="shared" si="131"/>
        <v>0</v>
      </c>
      <c r="GU156" s="3">
        <f t="shared" si="131"/>
        <v>0</v>
      </c>
      <c r="GV156" s="3">
        <f t="shared" si="131"/>
        <v>0</v>
      </c>
      <c r="GW156" s="3">
        <f t="shared" si="131"/>
        <v>0</v>
      </c>
      <c r="GX156" s="3">
        <f t="shared" si="131"/>
        <v>0</v>
      </c>
    </row>
    <row r="158" spans="1:206">
      <c r="A158" s="2">
        <v>51</v>
      </c>
      <c r="B158" s="2">
        <f>B154</f>
        <v>1</v>
      </c>
      <c r="C158" s="2">
        <f>A154</f>
        <v>4</v>
      </c>
      <c r="D158" s="2">
        <f>ROW(A154)</f>
        <v>154</v>
      </c>
      <c r="E158" s="2"/>
      <c r="F158" s="2" t="str">
        <f>IF(F154&lt;&gt;"",F154,"")</f>
        <v>Новый раздел</v>
      </c>
      <c r="G158" s="2" t="str">
        <f>IF(G154&lt;&gt;"",G154,"")</f>
        <v/>
      </c>
      <c r="H158" s="2">
        <v>0</v>
      </c>
      <c r="I158" s="2"/>
      <c r="J158" s="2"/>
      <c r="K158" s="2"/>
      <c r="L158" s="2"/>
      <c r="M158" s="2"/>
      <c r="N158" s="2"/>
      <c r="O158" s="2">
        <f t="shared" ref="O158:T158" si="132">ROUND(AB158,2)</f>
        <v>0</v>
      </c>
      <c r="P158" s="2">
        <f t="shared" si="132"/>
        <v>0</v>
      </c>
      <c r="Q158" s="2">
        <f t="shared" si="132"/>
        <v>0</v>
      </c>
      <c r="R158" s="2">
        <f t="shared" si="132"/>
        <v>0</v>
      </c>
      <c r="S158" s="2">
        <f t="shared" si="132"/>
        <v>0</v>
      </c>
      <c r="T158" s="2">
        <f t="shared" si="132"/>
        <v>0</v>
      </c>
      <c r="U158" s="2">
        <f>AH158</f>
        <v>0</v>
      </c>
      <c r="V158" s="2">
        <f>AI158</f>
        <v>0</v>
      </c>
      <c r="W158" s="2">
        <f>ROUND(AJ158,2)</f>
        <v>0</v>
      </c>
      <c r="X158" s="2">
        <f>ROUND(AK158,2)</f>
        <v>0</v>
      </c>
      <c r="Y158" s="2">
        <f>ROUND(AL158,2)</f>
        <v>0</v>
      </c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>
        <f t="shared" ref="AO158:BD158" si="133">ROUND(BX158,2)</f>
        <v>0</v>
      </c>
      <c r="AP158" s="2">
        <f t="shared" si="133"/>
        <v>0</v>
      </c>
      <c r="AQ158" s="2">
        <f t="shared" si="133"/>
        <v>0</v>
      </c>
      <c r="AR158" s="2">
        <f t="shared" si="133"/>
        <v>0</v>
      </c>
      <c r="AS158" s="2">
        <f t="shared" si="133"/>
        <v>0</v>
      </c>
      <c r="AT158" s="2">
        <f t="shared" si="133"/>
        <v>0</v>
      </c>
      <c r="AU158" s="2">
        <f t="shared" si="133"/>
        <v>0</v>
      </c>
      <c r="AV158" s="2">
        <f t="shared" si="133"/>
        <v>0</v>
      </c>
      <c r="AW158" s="2">
        <f t="shared" si="133"/>
        <v>0</v>
      </c>
      <c r="AX158" s="2">
        <f t="shared" si="133"/>
        <v>0</v>
      </c>
      <c r="AY158" s="2">
        <f t="shared" si="133"/>
        <v>0</v>
      </c>
      <c r="AZ158" s="2">
        <f t="shared" si="133"/>
        <v>0</v>
      </c>
      <c r="BA158" s="2">
        <f t="shared" si="133"/>
        <v>0</v>
      </c>
      <c r="BB158" s="2">
        <f t="shared" si="133"/>
        <v>0</v>
      </c>
      <c r="BC158" s="2">
        <f t="shared" si="133"/>
        <v>0</v>
      </c>
      <c r="BD158" s="2">
        <f t="shared" si="133"/>
        <v>0</v>
      </c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>
        <v>0</v>
      </c>
    </row>
    <row r="160" spans="1:206">
      <c r="A160" s="4">
        <v>50</v>
      </c>
      <c r="B160" s="4">
        <v>0</v>
      </c>
      <c r="C160" s="4">
        <v>0</v>
      </c>
      <c r="D160" s="4">
        <v>1</v>
      </c>
      <c r="E160" s="4">
        <v>201</v>
      </c>
      <c r="F160" s="4">
        <f>ROUND(Source!O158,O160)</f>
        <v>0</v>
      </c>
      <c r="G160" s="4" t="s">
        <v>69</v>
      </c>
      <c r="H160" s="4" t="s">
        <v>70</v>
      </c>
      <c r="I160" s="4"/>
      <c r="J160" s="4"/>
      <c r="K160" s="4">
        <v>201</v>
      </c>
      <c r="L160" s="4">
        <v>1</v>
      </c>
      <c r="M160" s="4">
        <v>3</v>
      </c>
      <c r="N160" s="4" t="s">
        <v>3</v>
      </c>
      <c r="O160" s="4">
        <v>2</v>
      </c>
      <c r="P160" s="4"/>
      <c r="Q160" s="4"/>
      <c r="R160" s="4"/>
      <c r="S160" s="4"/>
      <c r="T160" s="4"/>
      <c r="U160" s="4"/>
      <c r="V160" s="4"/>
      <c r="W160" s="4"/>
    </row>
    <row r="161" spans="1:23">
      <c r="A161" s="4">
        <v>50</v>
      </c>
      <c r="B161" s="4">
        <v>0</v>
      </c>
      <c r="C161" s="4">
        <v>0</v>
      </c>
      <c r="D161" s="4">
        <v>1</v>
      </c>
      <c r="E161" s="4">
        <v>202</v>
      </c>
      <c r="F161" s="4">
        <f>ROUND(Source!P158,O161)</f>
        <v>0</v>
      </c>
      <c r="G161" s="4" t="s">
        <v>71</v>
      </c>
      <c r="H161" s="4" t="s">
        <v>72</v>
      </c>
      <c r="I161" s="4"/>
      <c r="J161" s="4"/>
      <c r="K161" s="4">
        <v>202</v>
      </c>
      <c r="L161" s="4">
        <v>2</v>
      </c>
      <c r="M161" s="4">
        <v>3</v>
      </c>
      <c r="N161" s="4" t="s">
        <v>3</v>
      </c>
      <c r="O161" s="4">
        <v>2</v>
      </c>
      <c r="P161" s="4"/>
      <c r="Q161" s="4"/>
      <c r="R161" s="4"/>
      <c r="S161" s="4"/>
      <c r="T161" s="4"/>
      <c r="U161" s="4"/>
      <c r="V161" s="4"/>
      <c r="W161" s="4"/>
    </row>
    <row r="162" spans="1:23">
      <c r="A162" s="4">
        <v>50</v>
      </c>
      <c r="B162" s="4">
        <v>0</v>
      </c>
      <c r="C162" s="4">
        <v>0</v>
      </c>
      <c r="D162" s="4">
        <v>1</v>
      </c>
      <c r="E162" s="4">
        <v>222</v>
      </c>
      <c r="F162" s="4">
        <f>ROUND(Source!AO158,O162)</f>
        <v>0</v>
      </c>
      <c r="G162" s="4" t="s">
        <v>73</v>
      </c>
      <c r="H162" s="4" t="s">
        <v>74</v>
      </c>
      <c r="I162" s="4"/>
      <c r="J162" s="4"/>
      <c r="K162" s="4">
        <v>222</v>
      </c>
      <c r="L162" s="4">
        <v>3</v>
      </c>
      <c r="M162" s="4">
        <v>3</v>
      </c>
      <c r="N162" s="4" t="s">
        <v>3</v>
      </c>
      <c r="O162" s="4">
        <v>2</v>
      </c>
      <c r="P162" s="4"/>
      <c r="Q162" s="4"/>
      <c r="R162" s="4"/>
      <c r="S162" s="4"/>
      <c r="T162" s="4"/>
      <c r="U162" s="4"/>
      <c r="V162" s="4"/>
      <c r="W162" s="4"/>
    </row>
    <row r="163" spans="1:23">
      <c r="A163" s="4">
        <v>50</v>
      </c>
      <c r="B163" s="4">
        <v>0</v>
      </c>
      <c r="C163" s="4">
        <v>0</v>
      </c>
      <c r="D163" s="4">
        <v>1</v>
      </c>
      <c r="E163" s="4">
        <v>225</v>
      </c>
      <c r="F163" s="4">
        <f>ROUND(Source!AV158,O163)</f>
        <v>0</v>
      </c>
      <c r="G163" s="4" t="s">
        <v>75</v>
      </c>
      <c r="H163" s="4" t="s">
        <v>76</v>
      </c>
      <c r="I163" s="4"/>
      <c r="J163" s="4"/>
      <c r="K163" s="4">
        <v>225</v>
      </c>
      <c r="L163" s="4">
        <v>4</v>
      </c>
      <c r="M163" s="4">
        <v>3</v>
      </c>
      <c r="N163" s="4" t="s">
        <v>3</v>
      </c>
      <c r="O163" s="4">
        <v>2</v>
      </c>
      <c r="P163" s="4"/>
      <c r="Q163" s="4"/>
      <c r="R163" s="4"/>
      <c r="S163" s="4"/>
      <c r="T163" s="4"/>
      <c r="U163" s="4"/>
      <c r="V163" s="4"/>
      <c r="W163" s="4"/>
    </row>
    <row r="164" spans="1:23">
      <c r="A164" s="4">
        <v>50</v>
      </c>
      <c r="B164" s="4">
        <v>0</v>
      </c>
      <c r="C164" s="4">
        <v>0</v>
      </c>
      <c r="D164" s="4">
        <v>1</v>
      </c>
      <c r="E164" s="4">
        <v>226</v>
      </c>
      <c r="F164" s="4">
        <f>ROUND(Source!AW158,O164)</f>
        <v>0</v>
      </c>
      <c r="G164" s="4" t="s">
        <v>77</v>
      </c>
      <c r="H164" s="4" t="s">
        <v>78</v>
      </c>
      <c r="I164" s="4"/>
      <c r="J164" s="4"/>
      <c r="K164" s="4">
        <v>226</v>
      </c>
      <c r="L164" s="4">
        <v>5</v>
      </c>
      <c r="M164" s="4">
        <v>3</v>
      </c>
      <c r="N164" s="4" t="s">
        <v>3</v>
      </c>
      <c r="O164" s="4">
        <v>2</v>
      </c>
      <c r="P164" s="4"/>
      <c r="Q164" s="4"/>
      <c r="R164" s="4"/>
      <c r="S164" s="4"/>
      <c r="T164" s="4"/>
      <c r="U164" s="4"/>
      <c r="V164" s="4"/>
      <c r="W164" s="4"/>
    </row>
    <row r="165" spans="1:23">
      <c r="A165" s="4">
        <v>50</v>
      </c>
      <c r="B165" s="4">
        <v>0</v>
      </c>
      <c r="C165" s="4">
        <v>0</v>
      </c>
      <c r="D165" s="4">
        <v>1</v>
      </c>
      <c r="E165" s="4">
        <v>227</v>
      </c>
      <c r="F165" s="4">
        <f>ROUND(Source!AX158,O165)</f>
        <v>0</v>
      </c>
      <c r="G165" s="4" t="s">
        <v>79</v>
      </c>
      <c r="H165" s="4" t="s">
        <v>80</v>
      </c>
      <c r="I165" s="4"/>
      <c r="J165" s="4"/>
      <c r="K165" s="4">
        <v>227</v>
      </c>
      <c r="L165" s="4">
        <v>6</v>
      </c>
      <c r="M165" s="4">
        <v>3</v>
      </c>
      <c r="N165" s="4" t="s">
        <v>3</v>
      </c>
      <c r="O165" s="4">
        <v>2</v>
      </c>
      <c r="P165" s="4"/>
      <c r="Q165" s="4"/>
      <c r="R165" s="4"/>
      <c r="S165" s="4"/>
      <c r="T165" s="4"/>
      <c r="U165" s="4"/>
      <c r="V165" s="4"/>
      <c r="W165" s="4"/>
    </row>
    <row r="166" spans="1:23">
      <c r="A166" s="4">
        <v>50</v>
      </c>
      <c r="B166" s="4">
        <v>0</v>
      </c>
      <c r="C166" s="4">
        <v>0</v>
      </c>
      <c r="D166" s="4">
        <v>1</v>
      </c>
      <c r="E166" s="4">
        <v>228</v>
      </c>
      <c r="F166" s="4">
        <f>ROUND(Source!AY158,O166)</f>
        <v>0</v>
      </c>
      <c r="G166" s="4" t="s">
        <v>81</v>
      </c>
      <c r="H166" s="4" t="s">
        <v>82</v>
      </c>
      <c r="I166" s="4"/>
      <c r="J166" s="4"/>
      <c r="K166" s="4">
        <v>228</v>
      </c>
      <c r="L166" s="4">
        <v>7</v>
      </c>
      <c r="M166" s="4">
        <v>3</v>
      </c>
      <c r="N166" s="4" t="s">
        <v>3</v>
      </c>
      <c r="O166" s="4">
        <v>2</v>
      </c>
      <c r="P166" s="4"/>
      <c r="Q166" s="4"/>
      <c r="R166" s="4"/>
      <c r="S166" s="4"/>
      <c r="T166" s="4"/>
      <c r="U166" s="4"/>
      <c r="V166" s="4"/>
      <c r="W166" s="4"/>
    </row>
    <row r="167" spans="1:23">
      <c r="A167" s="4">
        <v>50</v>
      </c>
      <c r="B167" s="4">
        <v>0</v>
      </c>
      <c r="C167" s="4">
        <v>0</v>
      </c>
      <c r="D167" s="4">
        <v>1</v>
      </c>
      <c r="E167" s="4">
        <v>216</v>
      </c>
      <c r="F167" s="4">
        <f>ROUND(Source!AP158,O167)</f>
        <v>0</v>
      </c>
      <c r="G167" s="4" t="s">
        <v>83</v>
      </c>
      <c r="H167" s="4" t="s">
        <v>84</v>
      </c>
      <c r="I167" s="4"/>
      <c r="J167" s="4"/>
      <c r="K167" s="4">
        <v>216</v>
      </c>
      <c r="L167" s="4">
        <v>8</v>
      </c>
      <c r="M167" s="4">
        <v>3</v>
      </c>
      <c r="N167" s="4" t="s">
        <v>3</v>
      </c>
      <c r="O167" s="4">
        <v>2</v>
      </c>
      <c r="P167" s="4"/>
      <c r="Q167" s="4"/>
      <c r="R167" s="4"/>
      <c r="S167" s="4"/>
      <c r="T167" s="4"/>
      <c r="U167" s="4"/>
      <c r="V167" s="4"/>
      <c r="W167" s="4"/>
    </row>
    <row r="168" spans="1:23">
      <c r="A168" s="4">
        <v>50</v>
      </c>
      <c r="B168" s="4">
        <v>0</v>
      </c>
      <c r="C168" s="4">
        <v>0</v>
      </c>
      <c r="D168" s="4">
        <v>1</v>
      </c>
      <c r="E168" s="4">
        <v>223</v>
      </c>
      <c r="F168" s="4">
        <f>ROUND(Source!AQ158,O168)</f>
        <v>0</v>
      </c>
      <c r="G168" s="4" t="s">
        <v>85</v>
      </c>
      <c r="H168" s="4" t="s">
        <v>86</v>
      </c>
      <c r="I168" s="4"/>
      <c r="J168" s="4"/>
      <c r="K168" s="4">
        <v>223</v>
      </c>
      <c r="L168" s="4">
        <v>9</v>
      </c>
      <c r="M168" s="4">
        <v>3</v>
      </c>
      <c r="N168" s="4" t="s">
        <v>3</v>
      </c>
      <c r="O168" s="4">
        <v>2</v>
      </c>
      <c r="P168" s="4"/>
      <c r="Q168" s="4"/>
      <c r="R168" s="4"/>
      <c r="S168" s="4"/>
      <c r="T168" s="4"/>
      <c r="U168" s="4"/>
      <c r="V168" s="4"/>
      <c r="W168" s="4"/>
    </row>
    <row r="169" spans="1:23">
      <c r="A169" s="4">
        <v>50</v>
      </c>
      <c r="B169" s="4">
        <v>0</v>
      </c>
      <c r="C169" s="4">
        <v>0</v>
      </c>
      <c r="D169" s="4">
        <v>1</v>
      </c>
      <c r="E169" s="4">
        <v>229</v>
      </c>
      <c r="F169" s="4">
        <f>ROUND(Source!AZ158,O169)</f>
        <v>0</v>
      </c>
      <c r="G169" s="4" t="s">
        <v>87</v>
      </c>
      <c r="H169" s="4" t="s">
        <v>88</v>
      </c>
      <c r="I169" s="4"/>
      <c r="J169" s="4"/>
      <c r="K169" s="4">
        <v>229</v>
      </c>
      <c r="L169" s="4">
        <v>10</v>
      </c>
      <c r="M169" s="4">
        <v>3</v>
      </c>
      <c r="N169" s="4" t="s">
        <v>3</v>
      </c>
      <c r="O169" s="4">
        <v>2</v>
      </c>
      <c r="P169" s="4"/>
      <c r="Q169" s="4"/>
      <c r="R169" s="4"/>
      <c r="S169" s="4"/>
      <c r="T169" s="4"/>
      <c r="U169" s="4"/>
      <c r="V169" s="4"/>
      <c r="W169" s="4"/>
    </row>
    <row r="170" spans="1:23">
      <c r="A170" s="4">
        <v>50</v>
      </c>
      <c r="B170" s="4">
        <v>0</v>
      </c>
      <c r="C170" s="4">
        <v>0</v>
      </c>
      <c r="D170" s="4">
        <v>1</v>
      </c>
      <c r="E170" s="4">
        <v>203</v>
      </c>
      <c r="F170" s="4">
        <f>ROUND(Source!Q158,O170)</f>
        <v>0</v>
      </c>
      <c r="G170" s="4" t="s">
        <v>89</v>
      </c>
      <c r="H170" s="4" t="s">
        <v>90</v>
      </c>
      <c r="I170" s="4"/>
      <c r="J170" s="4"/>
      <c r="K170" s="4">
        <v>203</v>
      </c>
      <c r="L170" s="4">
        <v>11</v>
      </c>
      <c r="M170" s="4">
        <v>3</v>
      </c>
      <c r="N170" s="4" t="s">
        <v>3</v>
      </c>
      <c r="O170" s="4">
        <v>2</v>
      </c>
      <c r="P170" s="4"/>
      <c r="Q170" s="4"/>
      <c r="R170" s="4"/>
      <c r="S170" s="4"/>
      <c r="T170" s="4"/>
      <c r="U170" s="4"/>
      <c r="V170" s="4"/>
      <c r="W170" s="4"/>
    </row>
    <row r="171" spans="1:23">
      <c r="A171" s="4">
        <v>50</v>
      </c>
      <c r="B171" s="4">
        <v>0</v>
      </c>
      <c r="C171" s="4">
        <v>0</v>
      </c>
      <c r="D171" s="4">
        <v>1</v>
      </c>
      <c r="E171" s="4">
        <v>231</v>
      </c>
      <c r="F171" s="4">
        <f>ROUND(Source!BB158,O171)</f>
        <v>0</v>
      </c>
      <c r="G171" s="4" t="s">
        <v>91</v>
      </c>
      <c r="H171" s="4" t="s">
        <v>92</v>
      </c>
      <c r="I171" s="4"/>
      <c r="J171" s="4"/>
      <c r="K171" s="4">
        <v>231</v>
      </c>
      <c r="L171" s="4">
        <v>12</v>
      </c>
      <c r="M171" s="4">
        <v>3</v>
      </c>
      <c r="N171" s="4" t="s">
        <v>3</v>
      </c>
      <c r="O171" s="4">
        <v>2</v>
      </c>
      <c r="P171" s="4"/>
      <c r="Q171" s="4"/>
      <c r="R171" s="4"/>
      <c r="S171" s="4"/>
      <c r="T171" s="4"/>
      <c r="U171" s="4"/>
      <c r="V171" s="4"/>
      <c r="W171" s="4"/>
    </row>
    <row r="172" spans="1:23">
      <c r="A172" s="4">
        <v>50</v>
      </c>
      <c r="B172" s="4">
        <v>0</v>
      </c>
      <c r="C172" s="4">
        <v>0</v>
      </c>
      <c r="D172" s="4">
        <v>1</v>
      </c>
      <c r="E172" s="4">
        <v>204</v>
      </c>
      <c r="F172" s="4">
        <f>ROUND(Source!R158,O172)</f>
        <v>0</v>
      </c>
      <c r="G172" s="4" t="s">
        <v>93</v>
      </c>
      <c r="H172" s="4" t="s">
        <v>94</v>
      </c>
      <c r="I172" s="4"/>
      <c r="J172" s="4"/>
      <c r="K172" s="4">
        <v>204</v>
      </c>
      <c r="L172" s="4">
        <v>13</v>
      </c>
      <c r="M172" s="4">
        <v>3</v>
      </c>
      <c r="N172" s="4" t="s">
        <v>3</v>
      </c>
      <c r="O172" s="4">
        <v>2</v>
      </c>
      <c r="P172" s="4"/>
      <c r="Q172" s="4"/>
      <c r="R172" s="4"/>
      <c r="S172" s="4"/>
      <c r="T172" s="4"/>
      <c r="U172" s="4"/>
      <c r="V172" s="4"/>
      <c r="W172" s="4"/>
    </row>
    <row r="173" spans="1:23">
      <c r="A173" s="4">
        <v>50</v>
      </c>
      <c r="B173" s="4">
        <v>0</v>
      </c>
      <c r="C173" s="4">
        <v>0</v>
      </c>
      <c r="D173" s="4">
        <v>1</v>
      </c>
      <c r="E173" s="4">
        <v>205</v>
      </c>
      <c r="F173" s="4">
        <f>ROUND(Source!S158,O173)</f>
        <v>0</v>
      </c>
      <c r="G173" s="4" t="s">
        <v>95</v>
      </c>
      <c r="H173" s="4" t="s">
        <v>96</v>
      </c>
      <c r="I173" s="4"/>
      <c r="J173" s="4"/>
      <c r="K173" s="4">
        <v>205</v>
      </c>
      <c r="L173" s="4">
        <v>14</v>
      </c>
      <c r="M173" s="4">
        <v>3</v>
      </c>
      <c r="N173" s="4" t="s">
        <v>3</v>
      </c>
      <c r="O173" s="4">
        <v>2</v>
      </c>
      <c r="P173" s="4"/>
      <c r="Q173" s="4"/>
      <c r="R173" s="4"/>
      <c r="S173" s="4"/>
      <c r="T173" s="4"/>
      <c r="U173" s="4"/>
      <c r="V173" s="4"/>
      <c r="W173" s="4"/>
    </row>
    <row r="174" spans="1:23">
      <c r="A174" s="4">
        <v>50</v>
      </c>
      <c r="B174" s="4">
        <v>0</v>
      </c>
      <c r="C174" s="4">
        <v>0</v>
      </c>
      <c r="D174" s="4">
        <v>1</v>
      </c>
      <c r="E174" s="4">
        <v>232</v>
      </c>
      <c r="F174" s="4">
        <f>ROUND(Source!BC158,O174)</f>
        <v>0</v>
      </c>
      <c r="G174" s="4" t="s">
        <v>97</v>
      </c>
      <c r="H174" s="4" t="s">
        <v>98</v>
      </c>
      <c r="I174" s="4"/>
      <c r="J174" s="4"/>
      <c r="K174" s="4">
        <v>232</v>
      </c>
      <c r="L174" s="4">
        <v>15</v>
      </c>
      <c r="M174" s="4">
        <v>3</v>
      </c>
      <c r="N174" s="4" t="s">
        <v>3</v>
      </c>
      <c r="O174" s="4">
        <v>2</v>
      </c>
      <c r="P174" s="4"/>
      <c r="Q174" s="4"/>
      <c r="R174" s="4"/>
      <c r="S174" s="4"/>
      <c r="T174" s="4"/>
      <c r="U174" s="4"/>
      <c r="V174" s="4"/>
      <c r="W174" s="4"/>
    </row>
    <row r="175" spans="1:23">
      <c r="A175" s="4">
        <v>50</v>
      </c>
      <c r="B175" s="4">
        <v>0</v>
      </c>
      <c r="C175" s="4">
        <v>0</v>
      </c>
      <c r="D175" s="4">
        <v>1</v>
      </c>
      <c r="E175" s="4">
        <v>214</v>
      </c>
      <c r="F175" s="4">
        <f>ROUND(Source!AS158,O175)</f>
        <v>0</v>
      </c>
      <c r="G175" s="4" t="s">
        <v>99</v>
      </c>
      <c r="H175" s="4" t="s">
        <v>100</v>
      </c>
      <c r="I175" s="4"/>
      <c r="J175" s="4"/>
      <c r="K175" s="4">
        <v>214</v>
      </c>
      <c r="L175" s="4">
        <v>16</v>
      </c>
      <c r="M175" s="4">
        <v>3</v>
      </c>
      <c r="N175" s="4" t="s">
        <v>3</v>
      </c>
      <c r="O175" s="4">
        <v>2</v>
      </c>
      <c r="P175" s="4"/>
      <c r="Q175" s="4"/>
      <c r="R175" s="4"/>
      <c r="S175" s="4"/>
      <c r="T175" s="4"/>
      <c r="U175" s="4"/>
      <c r="V175" s="4"/>
      <c r="W175" s="4"/>
    </row>
    <row r="176" spans="1:23">
      <c r="A176" s="4">
        <v>50</v>
      </c>
      <c r="B176" s="4">
        <v>0</v>
      </c>
      <c r="C176" s="4">
        <v>0</v>
      </c>
      <c r="D176" s="4">
        <v>1</v>
      </c>
      <c r="E176" s="4">
        <v>215</v>
      </c>
      <c r="F176" s="4">
        <f>ROUND(Source!AT158,O176)</f>
        <v>0</v>
      </c>
      <c r="G176" s="4" t="s">
        <v>101</v>
      </c>
      <c r="H176" s="4" t="s">
        <v>102</v>
      </c>
      <c r="I176" s="4"/>
      <c r="J176" s="4"/>
      <c r="K176" s="4">
        <v>215</v>
      </c>
      <c r="L176" s="4">
        <v>17</v>
      </c>
      <c r="M176" s="4">
        <v>3</v>
      </c>
      <c r="N176" s="4" t="s">
        <v>3</v>
      </c>
      <c r="O176" s="4">
        <v>2</v>
      </c>
      <c r="P176" s="4"/>
      <c r="Q176" s="4"/>
      <c r="R176" s="4"/>
      <c r="S176" s="4"/>
      <c r="T176" s="4"/>
      <c r="U176" s="4"/>
      <c r="V176" s="4"/>
      <c r="W176" s="4"/>
    </row>
    <row r="177" spans="1:206">
      <c r="A177" s="4">
        <v>50</v>
      </c>
      <c r="B177" s="4">
        <v>0</v>
      </c>
      <c r="C177" s="4">
        <v>0</v>
      </c>
      <c r="D177" s="4">
        <v>1</v>
      </c>
      <c r="E177" s="4">
        <v>217</v>
      </c>
      <c r="F177" s="4">
        <f>ROUND(Source!AU158,O177)</f>
        <v>0</v>
      </c>
      <c r="G177" s="4" t="s">
        <v>103</v>
      </c>
      <c r="H177" s="4" t="s">
        <v>104</v>
      </c>
      <c r="I177" s="4"/>
      <c r="J177" s="4"/>
      <c r="K177" s="4">
        <v>217</v>
      </c>
      <c r="L177" s="4">
        <v>18</v>
      </c>
      <c r="M177" s="4">
        <v>3</v>
      </c>
      <c r="N177" s="4" t="s">
        <v>3</v>
      </c>
      <c r="O177" s="4">
        <v>2</v>
      </c>
      <c r="P177" s="4"/>
      <c r="Q177" s="4"/>
      <c r="R177" s="4"/>
      <c r="S177" s="4"/>
      <c r="T177" s="4"/>
      <c r="U177" s="4"/>
      <c r="V177" s="4"/>
      <c r="W177" s="4"/>
    </row>
    <row r="178" spans="1:206">
      <c r="A178" s="4">
        <v>50</v>
      </c>
      <c r="B178" s="4">
        <v>0</v>
      </c>
      <c r="C178" s="4">
        <v>0</v>
      </c>
      <c r="D178" s="4">
        <v>1</v>
      </c>
      <c r="E178" s="4">
        <v>230</v>
      </c>
      <c r="F178" s="4">
        <f>ROUND(Source!BA158,O178)</f>
        <v>0</v>
      </c>
      <c r="G178" s="4" t="s">
        <v>105</v>
      </c>
      <c r="H178" s="4" t="s">
        <v>106</v>
      </c>
      <c r="I178" s="4"/>
      <c r="J178" s="4"/>
      <c r="K178" s="4">
        <v>230</v>
      </c>
      <c r="L178" s="4">
        <v>19</v>
      </c>
      <c r="M178" s="4">
        <v>3</v>
      </c>
      <c r="N178" s="4" t="s">
        <v>3</v>
      </c>
      <c r="O178" s="4">
        <v>2</v>
      </c>
      <c r="P178" s="4"/>
      <c r="Q178" s="4"/>
      <c r="R178" s="4"/>
      <c r="S178" s="4"/>
      <c r="T178" s="4"/>
      <c r="U178" s="4"/>
      <c r="V178" s="4"/>
      <c r="W178" s="4"/>
    </row>
    <row r="179" spans="1:206">
      <c r="A179" s="4">
        <v>50</v>
      </c>
      <c r="B179" s="4">
        <v>0</v>
      </c>
      <c r="C179" s="4">
        <v>0</v>
      </c>
      <c r="D179" s="4">
        <v>1</v>
      </c>
      <c r="E179" s="4">
        <v>206</v>
      </c>
      <c r="F179" s="4">
        <f>ROUND(Source!T158,O179)</f>
        <v>0</v>
      </c>
      <c r="G179" s="4" t="s">
        <v>107</v>
      </c>
      <c r="H179" s="4" t="s">
        <v>108</v>
      </c>
      <c r="I179" s="4"/>
      <c r="J179" s="4"/>
      <c r="K179" s="4">
        <v>206</v>
      </c>
      <c r="L179" s="4">
        <v>20</v>
      </c>
      <c r="M179" s="4">
        <v>3</v>
      </c>
      <c r="N179" s="4" t="s">
        <v>3</v>
      </c>
      <c r="O179" s="4">
        <v>2</v>
      </c>
      <c r="P179" s="4"/>
      <c r="Q179" s="4"/>
      <c r="R179" s="4"/>
      <c r="S179" s="4"/>
      <c r="T179" s="4"/>
      <c r="U179" s="4"/>
      <c r="V179" s="4"/>
      <c r="W179" s="4"/>
    </row>
    <row r="180" spans="1:206">
      <c r="A180" s="4">
        <v>50</v>
      </c>
      <c r="B180" s="4">
        <v>0</v>
      </c>
      <c r="C180" s="4">
        <v>0</v>
      </c>
      <c r="D180" s="4">
        <v>1</v>
      </c>
      <c r="E180" s="4">
        <v>207</v>
      </c>
      <c r="F180" s="4">
        <f>Source!U158</f>
        <v>0</v>
      </c>
      <c r="G180" s="4" t="s">
        <v>109</v>
      </c>
      <c r="H180" s="4" t="s">
        <v>110</v>
      </c>
      <c r="I180" s="4"/>
      <c r="J180" s="4"/>
      <c r="K180" s="4">
        <v>207</v>
      </c>
      <c r="L180" s="4">
        <v>21</v>
      </c>
      <c r="M180" s="4">
        <v>3</v>
      </c>
      <c r="N180" s="4" t="s">
        <v>3</v>
      </c>
      <c r="O180" s="4">
        <v>-1</v>
      </c>
      <c r="P180" s="4"/>
      <c r="Q180" s="4"/>
      <c r="R180" s="4"/>
      <c r="S180" s="4"/>
      <c r="T180" s="4"/>
      <c r="U180" s="4"/>
      <c r="V180" s="4"/>
      <c r="W180" s="4"/>
    </row>
    <row r="181" spans="1:206">
      <c r="A181" s="4">
        <v>50</v>
      </c>
      <c r="B181" s="4">
        <v>0</v>
      </c>
      <c r="C181" s="4">
        <v>0</v>
      </c>
      <c r="D181" s="4">
        <v>1</v>
      </c>
      <c r="E181" s="4">
        <v>208</v>
      </c>
      <c r="F181" s="4">
        <f>Source!V158</f>
        <v>0</v>
      </c>
      <c r="G181" s="4" t="s">
        <v>111</v>
      </c>
      <c r="H181" s="4" t="s">
        <v>112</v>
      </c>
      <c r="I181" s="4"/>
      <c r="J181" s="4"/>
      <c r="K181" s="4">
        <v>208</v>
      </c>
      <c r="L181" s="4">
        <v>22</v>
      </c>
      <c r="M181" s="4">
        <v>3</v>
      </c>
      <c r="N181" s="4" t="s">
        <v>3</v>
      </c>
      <c r="O181" s="4">
        <v>-1</v>
      </c>
      <c r="P181" s="4"/>
      <c r="Q181" s="4"/>
      <c r="R181" s="4"/>
      <c r="S181" s="4"/>
      <c r="T181" s="4"/>
      <c r="U181" s="4"/>
      <c r="V181" s="4"/>
      <c r="W181" s="4"/>
    </row>
    <row r="182" spans="1:206">
      <c r="A182" s="4">
        <v>50</v>
      </c>
      <c r="B182" s="4">
        <v>0</v>
      </c>
      <c r="C182" s="4">
        <v>0</v>
      </c>
      <c r="D182" s="4">
        <v>1</v>
      </c>
      <c r="E182" s="4">
        <v>209</v>
      </c>
      <c r="F182" s="4">
        <f>ROUND(Source!W158,O182)</f>
        <v>0</v>
      </c>
      <c r="G182" s="4" t="s">
        <v>113</v>
      </c>
      <c r="H182" s="4" t="s">
        <v>114</v>
      </c>
      <c r="I182" s="4"/>
      <c r="J182" s="4"/>
      <c r="K182" s="4">
        <v>209</v>
      </c>
      <c r="L182" s="4">
        <v>23</v>
      </c>
      <c r="M182" s="4">
        <v>3</v>
      </c>
      <c r="N182" s="4" t="s">
        <v>3</v>
      </c>
      <c r="O182" s="4">
        <v>2</v>
      </c>
      <c r="P182" s="4"/>
      <c r="Q182" s="4"/>
      <c r="R182" s="4"/>
      <c r="S182" s="4"/>
      <c r="T182" s="4"/>
      <c r="U182" s="4"/>
      <c r="V182" s="4"/>
      <c r="W182" s="4"/>
    </row>
    <row r="183" spans="1:206">
      <c r="A183" s="4">
        <v>50</v>
      </c>
      <c r="B183" s="4">
        <v>0</v>
      </c>
      <c r="C183" s="4">
        <v>0</v>
      </c>
      <c r="D183" s="4">
        <v>1</v>
      </c>
      <c r="E183" s="4">
        <v>233</v>
      </c>
      <c r="F183" s="4">
        <f>ROUND(Source!BD158,O183)</f>
        <v>0</v>
      </c>
      <c r="G183" s="4" t="s">
        <v>115</v>
      </c>
      <c r="H183" s="4" t="s">
        <v>116</v>
      </c>
      <c r="I183" s="4"/>
      <c r="J183" s="4"/>
      <c r="K183" s="4">
        <v>233</v>
      </c>
      <c r="L183" s="4">
        <v>24</v>
      </c>
      <c r="M183" s="4">
        <v>3</v>
      </c>
      <c r="N183" s="4" t="s">
        <v>3</v>
      </c>
      <c r="O183" s="4">
        <v>2</v>
      </c>
      <c r="P183" s="4"/>
      <c r="Q183" s="4"/>
      <c r="R183" s="4"/>
      <c r="S183" s="4"/>
      <c r="T183" s="4"/>
      <c r="U183" s="4"/>
      <c r="V183" s="4"/>
      <c r="W183" s="4"/>
    </row>
    <row r="184" spans="1:206">
      <c r="A184" s="4">
        <v>50</v>
      </c>
      <c r="B184" s="4">
        <v>0</v>
      </c>
      <c r="C184" s="4">
        <v>0</v>
      </c>
      <c r="D184" s="4">
        <v>1</v>
      </c>
      <c r="E184" s="4">
        <v>210</v>
      </c>
      <c r="F184" s="4">
        <f>ROUND(Source!X158,O184)</f>
        <v>0</v>
      </c>
      <c r="G184" s="4" t="s">
        <v>117</v>
      </c>
      <c r="H184" s="4" t="s">
        <v>118</v>
      </c>
      <c r="I184" s="4"/>
      <c r="J184" s="4"/>
      <c r="K184" s="4">
        <v>210</v>
      </c>
      <c r="L184" s="4">
        <v>25</v>
      </c>
      <c r="M184" s="4">
        <v>3</v>
      </c>
      <c r="N184" s="4" t="s">
        <v>3</v>
      </c>
      <c r="O184" s="4">
        <v>2</v>
      </c>
      <c r="P184" s="4"/>
      <c r="Q184" s="4"/>
      <c r="R184" s="4"/>
      <c r="S184" s="4"/>
      <c r="T184" s="4"/>
      <c r="U184" s="4"/>
      <c r="V184" s="4"/>
      <c r="W184" s="4"/>
    </row>
    <row r="185" spans="1:206">
      <c r="A185" s="4">
        <v>50</v>
      </c>
      <c r="B185" s="4">
        <v>0</v>
      </c>
      <c r="C185" s="4">
        <v>0</v>
      </c>
      <c r="D185" s="4">
        <v>1</v>
      </c>
      <c r="E185" s="4">
        <v>211</v>
      </c>
      <c r="F185" s="4">
        <f>ROUND(Source!Y158,O185)</f>
        <v>0</v>
      </c>
      <c r="G185" s="4" t="s">
        <v>119</v>
      </c>
      <c r="H185" s="4" t="s">
        <v>120</v>
      </c>
      <c r="I185" s="4"/>
      <c r="J185" s="4"/>
      <c r="K185" s="4">
        <v>211</v>
      </c>
      <c r="L185" s="4">
        <v>26</v>
      </c>
      <c r="M185" s="4">
        <v>3</v>
      </c>
      <c r="N185" s="4" t="s">
        <v>3</v>
      </c>
      <c r="O185" s="4">
        <v>2</v>
      </c>
      <c r="P185" s="4"/>
      <c r="Q185" s="4"/>
      <c r="R185" s="4"/>
      <c r="S185" s="4"/>
      <c r="T185" s="4"/>
      <c r="U185" s="4"/>
      <c r="V185" s="4"/>
      <c r="W185" s="4"/>
    </row>
    <row r="186" spans="1:206">
      <c r="A186" s="4">
        <v>50</v>
      </c>
      <c r="B186" s="4">
        <v>0</v>
      </c>
      <c r="C186" s="4">
        <v>0</v>
      </c>
      <c r="D186" s="4">
        <v>1</v>
      </c>
      <c r="E186" s="4">
        <v>224</v>
      </c>
      <c r="F186" s="4">
        <f>ROUND(Source!AR158,O186)</f>
        <v>0</v>
      </c>
      <c r="G186" s="4" t="s">
        <v>121</v>
      </c>
      <c r="H186" s="4" t="s">
        <v>122</v>
      </c>
      <c r="I186" s="4"/>
      <c r="J186" s="4"/>
      <c r="K186" s="4">
        <v>224</v>
      </c>
      <c r="L186" s="4">
        <v>27</v>
      </c>
      <c r="M186" s="4">
        <v>3</v>
      </c>
      <c r="N186" s="4" t="s">
        <v>3</v>
      </c>
      <c r="O186" s="4">
        <v>2</v>
      </c>
      <c r="P186" s="4"/>
      <c r="Q186" s="4"/>
      <c r="R186" s="4"/>
      <c r="S186" s="4"/>
      <c r="T186" s="4"/>
      <c r="U186" s="4"/>
      <c r="V186" s="4"/>
      <c r="W186" s="4"/>
    </row>
    <row r="188" spans="1:206">
      <c r="A188" s="2">
        <v>51</v>
      </c>
      <c r="B188" s="2">
        <f>B20</f>
        <v>1</v>
      </c>
      <c r="C188" s="2">
        <f>A20</f>
        <v>3</v>
      </c>
      <c r="D188" s="2">
        <f>ROW(A20)</f>
        <v>20</v>
      </c>
      <c r="E188" s="2"/>
      <c r="F188" s="2" t="str">
        <f>IF(F20&lt;&gt;"",F20,"")</f>
        <v>Новая локальная смета</v>
      </c>
      <c r="G188" s="2" t="str">
        <f>IF(G20&lt;&gt;"",G20,"")</f>
        <v>Новая локальная смета</v>
      </c>
      <c r="H188" s="2">
        <v>0</v>
      </c>
      <c r="I188" s="2"/>
      <c r="J188" s="2"/>
      <c r="K188" s="2"/>
      <c r="L188" s="2"/>
      <c r="M188" s="2"/>
      <c r="N188" s="2"/>
      <c r="O188" s="2">
        <f t="shared" ref="O188:T188" si="134">ROUND(O39+O85+O124+O158+AB188,2)</f>
        <v>695052.32</v>
      </c>
      <c r="P188" s="2">
        <f t="shared" si="134"/>
        <v>549852.82999999996</v>
      </c>
      <c r="Q188" s="2">
        <f t="shared" si="134"/>
        <v>69417.320000000007</v>
      </c>
      <c r="R188" s="2">
        <f t="shared" si="134"/>
        <v>36550.68</v>
      </c>
      <c r="S188" s="2">
        <f t="shared" si="134"/>
        <v>75782.17</v>
      </c>
      <c r="T188" s="2">
        <f t="shared" si="134"/>
        <v>0</v>
      </c>
      <c r="U188" s="2">
        <f>U39+U85+U124+U158+AH188</f>
        <v>276.50950918400002</v>
      </c>
      <c r="V188" s="2">
        <f>V39+V85+V124+V158+AI188</f>
        <v>0</v>
      </c>
      <c r="W188" s="2">
        <f>ROUND(W39+W85+W124+W158+AJ188,2)</f>
        <v>0</v>
      </c>
      <c r="X188" s="2">
        <f>ROUND(X39+X85+X124+X158+AK188,2)</f>
        <v>81716.350000000006</v>
      </c>
      <c r="Y188" s="2">
        <f>ROUND(Y39+Y85+Y124+Y158+AL188,2)</f>
        <v>33726.339999999997</v>
      </c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>
        <f t="shared" ref="AO188:BD188" si="135">ROUND(AO39+AO85+AO124+AO158+BX188,2)</f>
        <v>0</v>
      </c>
      <c r="AP188" s="2">
        <f t="shared" si="135"/>
        <v>0</v>
      </c>
      <c r="AQ188" s="2">
        <f t="shared" si="135"/>
        <v>0</v>
      </c>
      <c r="AR188" s="2">
        <f t="shared" si="135"/>
        <v>867879.57</v>
      </c>
      <c r="AS188" s="2">
        <f t="shared" si="135"/>
        <v>867879.57</v>
      </c>
      <c r="AT188" s="2">
        <f t="shared" si="135"/>
        <v>0</v>
      </c>
      <c r="AU188" s="2">
        <f t="shared" si="135"/>
        <v>0</v>
      </c>
      <c r="AV188" s="2">
        <f t="shared" si="135"/>
        <v>549852.82999999996</v>
      </c>
      <c r="AW188" s="2">
        <f t="shared" si="135"/>
        <v>549852.82999999996</v>
      </c>
      <c r="AX188" s="2">
        <f t="shared" si="135"/>
        <v>0</v>
      </c>
      <c r="AY188" s="2">
        <f t="shared" si="135"/>
        <v>549852.82999999996</v>
      </c>
      <c r="AZ188" s="2">
        <f t="shared" si="135"/>
        <v>0</v>
      </c>
      <c r="BA188" s="2">
        <f t="shared" si="135"/>
        <v>0</v>
      </c>
      <c r="BB188" s="2">
        <f t="shared" si="135"/>
        <v>0</v>
      </c>
      <c r="BC188" s="2">
        <f t="shared" si="135"/>
        <v>0</v>
      </c>
      <c r="BD188" s="2">
        <f t="shared" si="135"/>
        <v>0</v>
      </c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>
        <v>0</v>
      </c>
    </row>
    <row r="190" spans="1:206">
      <c r="A190" s="4">
        <v>50</v>
      </c>
      <c r="B190" s="4">
        <v>0</v>
      </c>
      <c r="C190" s="4">
        <v>0</v>
      </c>
      <c r="D190" s="4">
        <v>1</v>
      </c>
      <c r="E190" s="4">
        <v>201</v>
      </c>
      <c r="F190" s="4">
        <f>ROUND(Source!O188,O190)</f>
        <v>695052.32</v>
      </c>
      <c r="G190" s="4" t="s">
        <v>69</v>
      </c>
      <c r="H190" s="4" t="s">
        <v>70</v>
      </c>
      <c r="I190" s="4"/>
      <c r="J190" s="4"/>
      <c r="K190" s="4">
        <v>201</v>
      </c>
      <c r="L190" s="4">
        <v>1</v>
      </c>
      <c r="M190" s="4">
        <v>3</v>
      </c>
      <c r="N190" s="4" t="s">
        <v>3</v>
      </c>
      <c r="O190" s="4">
        <v>2</v>
      </c>
      <c r="P190" s="4"/>
      <c r="Q190" s="4"/>
      <c r="R190" s="4"/>
      <c r="S190" s="4"/>
      <c r="T190" s="4"/>
      <c r="U190" s="4"/>
      <c r="V190" s="4"/>
      <c r="W190" s="4"/>
    </row>
    <row r="191" spans="1:206">
      <c r="A191" s="4">
        <v>50</v>
      </c>
      <c r="B191" s="4">
        <v>0</v>
      </c>
      <c r="C191" s="4">
        <v>0</v>
      </c>
      <c r="D191" s="4">
        <v>1</v>
      </c>
      <c r="E191" s="4">
        <v>202</v>
      </c>
      <c r="F191" s="4">
        <f>ROUND(Source!P188,O191)</f>
        <v>549852.82999999996</v>
      </c>
      <c r="G191" s="4" t="s">
        <v>71</v>
      </c>
      <c r="H191" s="4" t="s">
        <v>72</v>
      </c>
      <c r="I191" s="4"/>
      <c r="J191" s="4"/>
      <c r="K191" s="4">
        <v>202</v>
      </c>
      <c r="L191" s="4">
        <v>2</v>
      </c>
      <c r="M191" s="4">
        <v>3</v>
      </c>
      <c r="N191" s="4" t="s">
        <v>3</v>
      </c>
      <c r="O191" s="4">
        <v>2</v>
      </c>
      <c r="P191" s="4"/>
      <c r="Q191" s="4"/>
      <c r="R191" s="4"/>
      <c r="S191" s="4"/>
      <c r="T191" s="4"/>
      <c r="U191" s="4"/>
      <c r="V191" s="4"/>
      <c r="W191" s="4"/>
    </row>
    <row r="192" spans="1:206">
      <c r="A192" s="4">
        <v>50</v>
      </c>
      <c r="B192" s="4">
        <v>0</v>
      </c>
      <c r="C192" s="4">
        <v>0</v>
      </c>
      <c r="D192" s="4">
        <v>1</v>
      </c>
      <c r="E192" s="4">
        <v>222</v>
      </c>
      <c r="F192" s="4">
        <f>ROUND(Source!AO188,O192)</f>
        <v>0</v>
      </c>
      <c r="G192" s="4" t="s">
        <v>73</v>
      </c>
      <c r="H192" s="4" t="s">
        <v>74</v>
      </c>
      <c r="I192" s="4"/>
      <c r="J192" s="4"/>
      <c r="K192" s="4">
        <v>222</v>
      </c>
      <c r="L192" s="4">
        <v>3</v>
      </c>
      <c r="M192" s="4">
        <v>3</v>
      </c>
      <c r="N192" s="4" t="s">
        <v>3</v>
      </c>
      <c r="O192" s="4">
        <v>2</v>
      </c>
      <c r="P192" s="4"/>
      <c r="Q192" s="4"/>
      <c r="R192" s="4"/>
      <c r="S192" s="4"/>
      <c r="T192" s="4"/>
      <c r="U192" s="4"/>
      <c r="V192" s="4"/>
      <c r="W192" s="4"/>
    </row>
    <row r="193" spans="1:23">
      <c r="A193" s="4">
        <v>50</v>
      </c>
      <c r="B193" s="4">
        <v>0</v>
      </c>
      <c r="C193" s="4">
        <v>0</v>
      </c>
      <c r="D193" s="4">
        <v>1</v>
      </c>
      <c r="E193" s="4">
        <v>225</v>
      </c>
      <c r="F193" s="4">
        <f>ROUND(Source!AV188,O193)</f>
        <v>549852.82999999996</v>
      </c>
      <c r="G193" s="4" t="s">
        <v>75</v>
      </c>
      <c r="H193" s="4" t="s">
        <v>76</v>
      </c>
      <c r="I193" s="4"/>
      <c r="J193" s="4"/>
      <c r="K193" s="4">
        <v>225</v>
      </c>
      <c r="L193" s="4">
        <v>4</v>
      </c>
      <c r="M193" s="4">
        <v>3</v>
      </c>
      <c r="N193" s="4" t="s">
        <v>3</v>
      </c>
      <c r="O193" s="4">
        <v>2</v>
      </c>
      <c r="P193" s="4"/>
      <c r="Q193" s="4"/>
      <c r="R193" s="4"/>
      <c r="S193" s="4"/>
      <c r="T193" s="4"/>
      <c r="U193" s="4"/>
      <c r="V193" s="4"/>
      <c r="W193" s="4"/>
    </row>
    <row r="194" spans="1:23">
      <c r="A194" s="4">
        <v>50</v>
      </c>
      <c r="B194" s="4">
        <v>0</v>
      </c>
      <c r="C194" s="4">
        <v>0</v>
      </c>
      <c r="D194" s="4">
        <v>1</v>
      </c>
      <c r="E194" s="4">
        <v>226</v>
      </c>
      <c r="F194" s="4">
        <f>ROUND(Source!AW188,O194)</f>
        <v>549852.82999999996</v>
      </c>
      <c r="G194" s="4" t="s">
        <v>77</v>
      </c>
      <c r="H194" s="4" t="s">
        <v>78</v>
      </c>
      <c r="I194" s="4"/>
      <c r="J194" s="4"/>
      <c r="K194" s="4">
        <v>226</v>
      </c>
      <c r="L194" s="4">
        <v>5</v>
      </c>
      <c r="M194" s="4">
        <v>3</v>
      </c>
      <c r="N194" s="4" t="s">
        <v>3</v>
      </c>
      <c r="O194" s="4">
        <v>2</v>
      </c>
      <c r="P194" s="4"/>
      <c r="Q194" s="4"/>
      <c r="R194" s="4"/>
      <c r="S194" s="4"/>
      <c r="T194" s="4"/>
      <c r="U194" s="4"/>
      <c r="V194" s="4"/>
      <c r="W194" s="4"/>
    </row>
    <row r="195" spans="1:23">
      <c r="A195" s="4">
        <v>50</v>
      </c>
      <c r="B195" s="4">
        <v>0</v>
      </c>
      <c r="C195" s="4">
        <v>0</v>
      </c>
      <c r="D195" s="4">
        <v>1</v>
      </c>
      <c r="E195" s="4">
        <v>227</v>
      </c>
      <c r="F195" s="4">
        <f>ROUND(Source!AX188,O195)</f>
        <v>0</v>
      </c>
      <c r="G195" s="4" t="s">
        <v>79</v>
      </c>
      <c r="H195" s="4" t="s">
        <v>80</v>
      </c>
      <c r="I195" s="4"/>
      <c r="J195" s="4"/>
      <c r="K195" s="4">
        <v>227</v>
      </c>
      <c r="L195" s="4">
        <v>6</v>
      </c>
      <c r="M195" s="4">
        <v>3</v>
      </c>
      <c r="N195" s="4" t="s">
        <v>3</v>
      </c>
      <c r="O195" s="4">
        <v>2</v>
      </c>
      <c r="P195" s="4"/>
      <c r="Q195" s="4"/>
      <c r="R195" s="4"/>
      <c r="S195" s="4"/>
      <c r="T195" s="4"/>
      <c r="U195" s="4"/>
      <c r="V195" s="4"/>
      <c r="W195" s="4"/>
    </row>
    <row r="196" spans="1:23">
      <c r="A196" s="4">
        <v>50</v>
      </c>
      <c r="B196" s="4">
        <v>0</v>
      </c>
      <c r="C196" s="4">
        <v>0</v>
      </c>
      <c r="D196" s="4">
        <v>1</v>
      </c>
      <c r="E196" s="4">
        <v>228</v>
      </c>
      <c r="F196" s="4">
        <f>ROUND(Source!AY188,O196)</f>
        <v>549852.82999999996</v>
      </c>
      <c r="G196" s="4" t="s">
        <v>81</v>
      </c>
      <c r="H196" s="4" t="s">
        <v>82</v>
      </c>
      <c r="I196" s="4"/>
      <c r="J196" s="4"/>
      <c r="K196" s="4">
        <v>228</v>
      </c>
      <c r="L196" s="4">
        <v>7</v>
      </c>
      <c r="M196" s="4">
        <v>3</v>
      </c>
      <c r="N196" s="4" t="s">
        <v>3</v>
      </c>
      <c r="O196" s="4">
        <v>2</v>
      </c>
      <c r="P196" s="4"/>
      <c r="Q196" s="4"/>
      <c r="R196" s="4"/>
      <c r="S196" s="4"/>
      <c r="T196" s="4"/>
      <c r="U196" s="4"/>
      <c r="V196" s="4"/>
      <c r="W196" s="4"/>
    </row>
    <row r="197" spans="1:23">
      <c r="A197" s="4">
        <v>50</v>
      </c>
      <c r="B197" s="4">
        <v>0</v>
      </c>
      <c r="C197" s="4">
        <v>0</v>
      </c>
      <c r="D197" s="4">
        <v>1</v>
      </c>
      <c r="E197" s="4">
        <v>216</v>
      </c>
      <c r="F197" s="4">
        <f>ROUND(Source!AP188,O197)</f>
        <v>0</v>
      </c>
      <c r="G197" s="4" t="s">
        <v>83</v>
      </c>
      <c r="H197" s="4" t="s">
        <v>84</v>
      </c>
      <c r="I197" s="4"/>
      <c r="J197" s="4"/>
      <c r="K197" s="4">
        <v>216</v>
      </c>
      <c r="L197" s="4">
        <v>8</v>
      </c>
      <c r="M197" s="4">
        <v>3</v>
      </c>
      <c r="N197" s="4" t="s">
        <v>3</v>
      </c>
      <c r="O197" s="4">
        <v>2</v>
      </c>
      <c r="P197" s="4"/>
      <c r="Q197" s="4"/>
      <c r="R197" s="4"/>
      <c r="S197" s="4"/>
      <c r="T197" s="4"/>
      <c r="U197" s="4"/>
      <c r="V197" s="4"/>
      <c r="W197" s="4"/>
    </row>
    <row r="198" spans="1:23">
      <c r="A198" s="4">
        <v>50</v>
      </c>
      <c r="B198" s="4">
        <v>0</v>
      </c>
      <c r="C198" s="4">
        <v>0</v>
      </c>
      <c r="D198" s="4">
        <v>1</v>
      </c>
      <c r="E198" s="4">
        <v>223</v>
      </c>
      <c r="F198" s="4">
        <f>ROUND(Source!AQ188,O198)</f>
        <v>0</v>
      </c>
      <c r="G198" s="4" t="s">
        <v>85</v>
      </c>
      <c r="H198" s="4" t="s">
        <v>86</v>
      </c>
      <c r="I198" s="4"/>
      <c r="J198" s="4"/>
      <c r="K198" s="4">
        <v>223</v>
      </c>
      <c r="L198" s="4">
        <v>9</v>
      </c>
      <c r="M198" s="4">
        <v>3</v>
      </c>
      <c r="N198" s="4" t="s">
        <v>3</v>
      </c>
      <c r="O198" s="4">
        <v>2</v>
      </c>
      <c r="P198" s="4"/>
      <c r="Q198" s="4"/>
      <c r="R198" s="4"/>
      <c r="S198" s="4"/>
      <c r="T198" s="4"/>
      <c r="U198" s="4"/>
      <c r="V198" s="4"/>
      <c r="W198" s="4"/>
    </row>
    <row r="199" spans="1:23">
      <c r="A199" s="4">
        <v>50</v>
      </c>
      <c r="B199" s="4">
        <v>0</v>
      </c>
      <c r="C199" s="4">
        <v>0</v>
      </c>
      <c r="D199" s="4">
        <v>1</v>
      </c>
      <c r="E199" s="4">
        <v>229</v>
      </c>
      <c r="F199" s="4">
        <f>ROUND(Source!AZ188,O199)</f>
        <v>0</v>
      </c>
      <c r="G199" s="4" t="s">
        <v>87</v>
      </c>
      <c r="H199" s="4" t="s">
        <v>88</v>
      </c>
      <c r="I199" s="4"/>
      <c r="J199" s="4"/>
      <c r="K199" s="4">
        <v>229</v>
      </c>
      <c r="L199" s="4">
        <v>10</v>
      </c>
      <c r="M199" s="4">
        <v>3</v>
      </c>
      <c r="N199" s="4" t="s">
        <v>3</v>
      </c>
      <c r="O199" s="4">
        <v>2</v>
      </c>
      <c r="P199" s="4"/>
      <c r="Q199" s="4"/>
      <c r="R199" s="4"/>
      <c r="S199" s="4"/>
      <c r="T199" s="4"/>
      <c r="U199" s="4"/>
      <c r="V199" s="4"/>
      <c r="W199" s="4"/>
    </row>
    <row r="200" spans="1:23">
      <c r="A200" s="4">
        <v>50</v>
      </c>
      <c r="B200" s="4">
        <v>0</v>
      </c>
      <c r="C200" s="4">
        <v>0</v>
      </c>
      <c r="D200" s="4">
        <v>1</v>
      </c>
      <c r="E200" s="4">
        <v>203</v>
      </c>
      <c r="F200" s="4">
        <f>ROUND(Source!Q188,O200)</f>
        <v>69417.320000000007</v>
      </c>
      <c r="G200" s="4" t="s">
        <v>89</v>
      </c>
      <c r="H200" s="4" t="s">
        <v>90</v>
      </c>
      <c r="I200" s="4"/>
      <c r="J200" s="4"/>
      <c r="K200" s="4">
        <v>203</v>
      </c>
      <c r="L200" s="4">
        <v>11</v>
      </c>
      <c r="M200" s="4">
        <v>3</v>
      </c>
      <c r="N200" s="4" t="s">
        <v>3</v>
      </c>
      <c r="O200" s="4">
        <v>2</v>
      </c>
      <c r="P200" s="4"/>
      <c r="Q200" s="4"/>
      <c r="R200" s="4"/>
      <c r="S200" s="4"/>
      <c r="T200" s="4"/>
      <c r="U200" s="4"/>
      <c r="V200" s="4"/>
      <c r="W200" s="4"/>
    </row>
    <row r="201" spans="1:23">
      <c r="A201" s="4">
        <v>50</v>
      </c>
      <c r="B201" s="4">
        <v>0</v>
      </c>
      <c r="C201" s="4">
        <v>0</v>
      </c>
      <c r="D201" s="4">
        <v>1</v>
      </c>
      <c r="E201" s="4">
        <v>231</v>
      </c>
      <c r="F201" s="4">
        <f>ROUND(Source!BB188,O201)</f>
        <v>0</v>
      </c>
      <c r="G201" s="4" t="s">
        <v>91</v>
      </c>
      <c r="H201" s="4" t="s">
        <v>92</v>
      </c>
      <c r="I201" s="4"/>
      <c r="J201" s="4"/>
      <c r="K201" s="4">
        <v>231</v>
      </c>
      <c r="L201" s="4">
        <v>12</v>
      </c>
      <c r="M201" s="4">
        <v>3</v>
      </c>
      <c r="N201" s="4" t="s">
        <v>3</v>
      </c>
      <c r="O201" s="4">
        <v>2</v>
      </c>
      <c r="P201" s="4"/>
      <c r="Q201" s="4"/>
      <c r="R201" s="4"/>
      <c r="S201" s="4"/>
      <c r="T201" s="4"/>
      <c r="U201" s="4"/>
      <c r="V201" s="4"/>
      <c r="W201" s="4"/>
    </row>
    <row r="202" spans="1:23">
      <c r="A202" s="4">
        <v>50</v>
      </c>
      <c r="B202" s="4">
        <v>0</v>
      </c>
      <c r="C202" s="4">
        <v>0</v>
      </c>
      <c r="D202" s="4">
        <v>1</v>
      </c>
      <c r="E202" s="4">
        <v>204</v>
      </c>
      <c r="F202" s="4">
        <f>ROUND(Source!R188,O202)</f>
        <v>36550.68</v>
      </c>
      <c r="G202" s="4" t="s">
        <v>93</v>
      </c>
      <c r="H202" s="4" t="s">
        <v>94</v>
      </c>
      <c r="I202" s="4"/>
      <c r="J202" s="4"/>
      <c r="K202" s="4">
        <v>204</v>
      </c>
      <c r="L202" s="4">
        <v>13</v>
      </c>
      <c r="M202" s="4">
        <v>3</v>
      </c>
      <c r="N202" s="4" t="s">
        <v>3</v>
      </c>
      <c r="O202" s="4">
        <v>2</v>
      </c>
      <c r="P202" s="4"/>
      <c r="Q202" s="4"/>
      <c r="R202" s="4"/>
      <c r="S202" s="4"/>
      <c r="T202" s="4"/>
      <c r="U202" s="4"/>
      <c r="V202" s="4"/>
      <c r="W202" s="4"/>
    </row>
    <row r="203" spans="1:23">
      <c r="A203" s="4">
        <v>50</v>
      </c>
      <c r="B203" s="4">
        <v>0</v>
      </c>
      <c r="C203" s="4">
        <v>0</v>
      </c>
      <c r="D203" s="4">
        <v>1</v>
      </c>
      <c r="E203" s="4">
        <v>205</v>
      </c>
      <c r="F203" s="4">
        <f>ROUND(Source!S188,O203)</f>
        <v>75782.17</v>
      </c>
      <c r="G203" s="4" t="s">
        <v>95</v>
      </c>
      <c r="H203" s="4" t="s">
        <v>96</v>
      </c>
      <c r="I203" s="4"/>
      <c r="J203" s="4"/>
      <c r="K203" s="4">
        <v>205</v>
      </c>
      <c r="L203" s="4">
        <v>14</v>
      </c>
      <c r="M203" s="4">
        <v>3</v>
      </c>
      <c r="N203" s="4" t="s">
        <v>3</v>
      </c>
      <c r="O203" s="4">
        <v>2</v>
      </c>
      <c r="P203" s="4"/>
      <c r="Q203" s="4"/>
      <c r="R203" s="4"/>
      <c r="S203" s="4"/>
      <c r="T203" s="4"/>
      <c r="U203" s="4"/>
      <c r="V203" s="4"/>
      <c r="W203" s="4"/>
    </row>
    <row r="204" spans="1:23">
      <c r="A204" s="4">
        <v>50</v>
      </c>
      <c r="B204" s="4">
        <v>0</v>
      </c>
      <c r="C204" s="4">
        <v>0</v>
      </c>
      <c r="D204" s="4">
        <v>1</v>
      </c>
      <c r="E204" s="4">
        <v>232</v>
      </c>
      <c r="F204" s="4">
        <f>ROUND(Source!BC188,O204)</f>
        <v>0</v>
      </c>
      <c r="G204" s="4" t="s">
        <v>97</v>
      </c>
      <c r="H204" s="4" t="s">
        <v>98</v>
      </c>
      <c r="I204" s="4"/>
      <c r="J204" s="4"/>
      <c r="K204" s="4">
        <v>232</v>
      </c>
      <c r="L204" s="4">
        <v>15</v>
      </c>
      <c r="M204" s="4">
        <v>3</v>
      </c>
      <c r="N204" s="4" t="s">
        <v>3</v>
      </c>
      <c r="O204" s="4">
        <v>2</v>
      </c>
      <c r="P204" s="4"/>
      <c r="Q204" s="4"/>
      <c r="R204" s="4"/>
      <c r="S204" s="4"/>
      <c r="T204" s="4"/>
      <c r="U204" s="4"/>
      <c r="V204" s="4"/>
      <c r="W204" s="4"/>
    </row>
    <row r="205" spans="1:23">
      <c r="A205" s="4">
        <v>50</v>
      </c>
      <c r="B205" s="4">
        <v>0</v>
      </c>
      <c r="C205" s="4">
        <v>0</v>
      </c>
      <c r="D205" s="4">
        <v>1</v>
      </c>
      <c r="E205" s="4">
        <v>214</v>
      </c>
      <c r="F205" s="4">
        <f>ROUND(Source!AS188,O205)</f>
        <v>867879.57</v>
      </c>
      <c r="G205" s="4" t="s">
        <v>99</v>
      </c>
      <c r="H205" s="4" t="s">
        <v>100</v>
      </c>
      <c r="I205" s="4"/>
      <c r="J205" s="4"/>
      <c r="K205" s="4">
        <v>214</v>
      </c>
      <c r="L205" s="4">
        <v>16</v>
      </c>
      <c r="M205" s="4">
        <v>3</v>
      </c>
      <c r="N205" s="4" t="s">
        <v>3</v>
      </c>
      <c r="O205" s="4">
        <v>2</v>
      </c>
      <c r="P205" s="4"/>
      <c r="Q205" s="4"/>
      <c r="R205" s="4"/>
      <c r="S205" s="4"/>
      <c r="T205" s="4"/>
      <c r="U205" s="4"/>
      <c r="V205" s="4"/>
      <c r="W205" s="4"/>
    </row>
    <row r="206" spans="1:23">
      <c r="A206" s="4">
        <v>50</v>
      </c>
      <c r="B206" s="4">
        <v>0</v>
      </c>
      <c r="C206" s="4">
        <v>0</v>
      </c>
      <c r="D206" s="4">
        <v>1</v>
      </c>
      <c r="E206" s="4">
        <v>215</v>
      </c>
      <c r="F206" s="4">
        <f>ROUND(Source!AT188,O206)</f>
        <v>0</v>
      </c>
      <c r="G206" s="4" t="s">
        <v>101</v>
      </c>
      <c r="H206" s="4" t="s">
        <v>102</v>
      </c>
      <c r="I206" s="4"/>
      <c r="J206" s="4"/>
      <c r="K206" s="4">
        <v>215</v>
      </c>
      <c r="L206" s="4">
        <v>17</v>
      </c>
      <c r="M206" s="4">
        <v>3</v>
      </c>
      <c r="N206" s="4" t="s">
        <v>3</v>
      </c>
      <c r="O206" s="4">
        <v>2</v>
      </c>
      <c r="P206" s="4"/>
      <c r="Q206" s="4"/>
      <c r="R206" s="4"/>
      <c r="S206" s="4"/>
      <c r="T206" s="4"/>
      <c r="U206" s="4"/>
      <c r="V206" s="4"/>
      <c r="W206" s="4"/>
    </row>
    <row r="207" spans="1:23">
      <c r="A207" s="4">
        <v>50</v>
      </c>
      <c r="B207" s="4">
        <v>0</v>
      </c>
      <c r="C207" s="4">
        <v>0</v>
      </c>
      <c r="D207" s="4">
        <v>1</v>
      </c>
      <c r="E207" s="4">
        <v>217</v>
      </c>
      <c r="F207" s="4">
        <f>ROUND(Source!AU188,O207)</f>
        <v>0</v>
      </c>
      <c r="G207" s="4" t="s">
        <v>103</v>
      </c>
      <c r="H207" s="4" t="s">
        <v>104</v>
      </c>
      <c r="I207" s="4"/>
      <c r="J207" s="4"/>
      <c r="K207" s="4">
        <v>217</v>
      </c>
      <c r="L207" s="4">
        <v>18</v>
      </c>
      <c r="M207" s="4">
        <v>3</v>
      </c>
      <c r="N207" s="4" t="s">
        <v>3</v>
      </c>
      <c r="O207" s="4">
        <v>2</v>
      </c>
      <c r="P207" s="4"/>
      <c r="Q207" s="4"/>
      <c r="R207" s="4"/>
      <c r="S207" s="4"/>
      <c r="T207" s="4"/>
      <c r="U207" s="4"/>
      <c r="V207" s="4"/>
      <c r="W207" s="4"/>
    </row>
    <row r="208" spans="1:23">
      <c r="A208" s="4">
        <v>50</v>
      </c>
      <c r="B208" s="4">
        <v>0</v>
      </c>
      <c r="C208" s="4">
        <v>0</v>
      </c>
      <c r="D208" s="4">
        <v>1</v>
      </c>
      <c r="E208" s="4">
        <v>230</v>
      </c>
      <c r="F208" s="4">
        <f>ROUND(Source!BA188,O208)</f>
        <v>0</v>
      </c>
      <c r="G208" s="4" t="s">
        <v>105</v>
      </c>
      <c r="H208" s="4" t="s">
        <v>106</v>
      </c>
      <c r="I208" s="4"/>
      <c r="J208" s="4"/>
      <c r="K208" s="4">
        <v>230</v>
      </c>
      <c r="L208" s="4">
        <v>19</v>
      </c>
      <c r="M208" s="4">
        <v>3</v>
      </c>
      <c r="N208" s="4" t="s">
        <v>3</v>
      </c>
      <c r="O208" s="4">
        <v>2</v>
      </c>
      <c r="P208" s="4"/>
      <c r="Q208" s="4"/>
      <c r="R208" s="4"/>
      <c r="S208" s="4"/>
      <c r="T208" s="4"/>
      <c r="U208" s="4"/>
      <c r="V208" s="4"/>
      <c r="W208" s="4"/>
    </row>
    <row r="209" spans="1:206">
      <c r="A209" s="4">
        <v>50</v>
      </c>
      <c r="B209" s="4">
        <v>0</v>
      </c>
      <c r="C209" s="4">
        <v>0</v>
      </c>
      <c r="D209" s="4">
        <v>1</v>
      </c>
      <c r="E209" s="4">
        <v>206</v>
      </c>
      <c r="F209" s="4">
        <f>ROUND(Source!T188,O209)</f>
        <v>0</v>
      </c>
      <c r="G209" s="4" t="s">
        <v>107</v>
      </c>
      <c r="H209" s="4" t="s">
        <v>108</v>
      </c>
      <c r="I209" s="4"/>
      <c r="J209" s="4"/>
      <c r="K209" s="4">
        <v>206</v>
      </c>
      <c r="L209" s="4">
        <v>20</v>
      </c>
      <c r="M209" s="4">
        <v>3</v>
      </c>
      <c r="N209" s="4" t="s">
        <v>3</v>
      </c>
      <c r="O209" s="4">
        <v>2</v>
      </c>
      <c r="P209" s="4"/>
      <c r="Q209" s="4"/>
      <c r="R209" s="4"/>
      <c r="S209" s="4"/>
      <c r="T209" s="4"/>
      <c r="U209" s="4"/>
      <c r="V209" s="4"/>
      <c r="W209" s="4"/>
    </row>
    <row r="210" spans="1:206">
      <c r="A210" s="4">
        <v>50</v>
      </c>
      <c r="B210" s="4">
        <v>0</v>
      </c>
      <c r="C210" s="4">
        <v>0</v>
      </c>
      <c r="D210" s="4">
        <v>1</v>
      </c>
      <c r="E210" s="4">
        <v>207</v>
      </c>
      <c r="F210" s="4">
        <f>Source!U188</f>
        <v>276.50950918400002</v>
      </c>
      <c r="G210" s="4" t="s">
        <v>109</v>
      </c>
      <c r="H210" s="4" t="s">
        <v>110</v>
      </c>
      <c r="I210" s="4"/>
      <c r="J210" s="4"/>
      <c r="K210" s="4">
        <v>207</v>
      </c>
      <c r="L210" s="4">
        <v>21</v>
      </c>
      <c r="M210" s="4">
        <v>3</v>
      </c>
      <c r="N210" s="4" t="s">
        <v>3</v>
      </c>
      <c r="O210" s="4">
        <v>-1</v>
      </c>
      <c r="P210" s="4"/>
      <c r="Q210" s="4"/>
      <c r="R210" s="4"/>
      <c r="S210" s="4"/>
      <c r="T210" s="4"/>
      <c r="U210" s="4"/>
      <c r="V210" s="4"/>
      <c r="W210" s="4"/>
    </row>
    <row r="211" spans="1:206">
      <c r="A211" s="4">
        <v>50</v>
      </c>
      <c r="B211" s="4">
        <v>0</v>
      </c>
      <c r="C211" s="4">
        <v>0</v>
      </c>
      <c r="D211" s="4">
        <v>1</v>
      </c>
      <c r="E211" s="4">
        <v>208</v>
      </c>
      <c r="F211" s="4">
        <f>Source!V188</f>
        <v>0</v>
      </c>
      <c r="G211" s="4" t="s">
        <v>111</v>
      </c>
      <c r="H211" s="4" t="s">
        <v>112</v>
      </c>
      <c r="I211" s="4"/>
      <c r="J211" s="4"/>
      <c r="K211" s="4">
        <v>208</v>
      </c>
      <c r="L211" s="4">
        <v>22</v>
      </c>
      <c r="M211" s="4">
        <v>3</v>
      </c>
      <c r="N211" s="4" t="s">
        <v>3</v>
      </c>
      <c r="O211" s="4">
        <v>-1</v>
      </c>
      <c r="P211" s="4"/>
      <c r="Q211" s="4"/>
      <c r="R211" s="4"/>
      <c r="S211" s="4"/>
      <c r="T211" s="4"/>
      <c r="U211" s="4"/>
      <c r="V211" s="4"/>
      <c r="W211" s="4"/>
    </row>
    <row r="212" spans="1:206">
      <c r="A212" s="4">
        <v>50</v>
      </c>
      <c r="B212" s="4">
        <v>0</v>
      </c>
      <c r="C212" s="4">
        <v>0</v>
      </c>
      <c r="D212" s="4">
        <v>1</v>
      </c>
      <c r="E212" s="4">
        <v>209</v>
      </c>
      <c r="F212" s="4">
        <f>ROUND(Source!W188,O212)</f>
        <v>0</v>
      </c>
      <c r="G212" s="4" t="s">
        <v>113</v>
      </c>
      <c r="H212" s="4" t="s">
        <v>114</v>
      </c>
      <c r="I212" s="4"/>
      <c r="J212" s="4"/>
      <c r="K212" s="4">
        <v>209</v>
      </c>
      <c r="L212" s="4">
        <v>23</v>
      </c>
      <c r="M212" s="4">
        <v>3</v>
      </c>
      <c r="N212" s="4" t="s">
        <v>3</v>
      </c>
      <c r="O212" s="4">
        <v>2</v>
      </c>
      <c r="P212" s="4"/>
      <c r="Q212" s="4"/>
      <c r="R212" s="4"/>
      <c r="S212" s="4"/>
      <c r="T212" s="4"/>
      <c r="U212" s="4"/>
      <c r="V212" s="4"/>
      <c r="W212" s="4"/>
    </row>
    <row r="213" spans="1:206">
      <c r="A213" s="4">
        <v>50</v>
      </c>
      <c r="B213" s="4">
        <v>0</v>
      </c>
      <c r="C213" s="4">
        <v>0</v>
      </c>
      <c r="D213" s="4">
        <v>1</v>
      </c>
      <c r="E213" s="4">
        <v>233</v>
      </c>
      <c r="F213" s="4">
        <f>ROUND(Source!BD188,O213)</f>
        <v>0</v>
      </c>
      <c r="G213" s="4" t="s">
        <v>115</v>
      </c>
      <c r="H213" s="4" t="s">
        <v>116</v>
      </c>
      <c r="I213" s="4"/>
      <c r="J213" s="4"/>
      <c r="K213" s="4">
        <v>233</v>
      </c>
      <c r="L213" s="4">
        <v>24</v>
      </c>
      <c r="M213" s="4">
        <v>3</v>
      </c>
      <c r="N213" s="4" t="s">
        <v>3</v>
      </c>
      <c r="O213" s="4">
        <v>2</v>
      </c>
      <c r="P213" s="4"/>
      <c r="Q213" s="4"/>
      <c r="R213" s="4"/>
      <c r="S213" s="4"/>
      <c r="T213" s="4"/>
      <c r="U213" s="4"/>
      <c r="V213" s="4"/>
      <c r="W213" s="4"/>
    </row>
    <row r="214" spans="1:206">
      <c r="A214" s="4">
        <v>50</v>
      </c>
      <c r="B214" s="4">
        <v>0</v>
      </c>
      <c r="C214" s="4">
        <v>0</v>
      </c>
      <c r="D214" s="4">
        <v>1</v>
      </c>
      <c r="E214" s="4">
        <v>210</v>
      </c>
      <c r="F214" s="4">
        <f>ROUND(Source!X188,O214)</f>
        <v>81716.350000000006</v>
      </c>
      <c r="G214" s="4" t="s">
        <v>117</v>
      </c>
      <c r="H214" s="4" t="s">
        <v>118</v>
      </c>
      <c r="I214" s="4"/>
      <c r="J214" s="4"/>
      <c r="K214" s="4">
        <v>210</v>
      </c>
      <c r="L214" s="4">
        <v>25</v>
      </c>
      <c r="M214" s="4">
        <v>3</v>
      </c>
      <c r="N214" s="4" t="s">
        <v>3</v>
      </c>
      <c r="O214" s="4">
        <v>2</v>
      </c>
      <c r="P214" s="4"/>
      <c r="Q214" s="4"/>
      <c r="R214" s="4"/>
      <c r="S214" s="4"/>
      <c r="T214" s="4"/>
      <c r="U214" s="4"/>
      <c r="V214" s="4"/>
      <c r="W214" s="4"/>
    </row>
    <row r="215" spans="1:206">
      <c r="A215" s="4">
        <v>50</v>
      </c>
      <c r="B215" s="4">
        <v>0</v>
      </c>
      <c r="C215" s="4">
        <v>0</v>
      </c>
      <c r="D215" s="4">
        <v>1</v>
      </c>
      <c r="E215" s="4">
        <v>211</v>
      </c>
      <c r="F215" s="4">
        <f>ROUND(Source!Y188,O215)</f>
        <v>33726.339999999997</v>
      </c>
      <c r="G215" s="4" t="s">
        <v>119</v>
      </c>
      <c r="H215" s="4" t="s">
        <v>120</v>
      </c>
      <c r="I215" s="4"/>
      <c r="J215" s="4"/>
      <c r="K215" s="4">
        <v>211</v>
      </c>
      <c r="L215" s="4">
        <v>26</v>
      </c>
      <c r="M215" s="4">
        <v>3</v>
      </c>
      <c r="N215" s="4" t="s">
        <v>3</v>
      </c>
      <c r="O215" s="4">
        <v>2</v>
      </c>
      <c r="P215" s="4"/>
      <c r="Q215" s="4"/>
      <c r="R215" s="4"/>
      <c r="S215" s="4"/>
      <c r="T215" s="4"/>
      <c r="U215" s="4"/>
      <c r="V215" s="4"/>
      <c r="W215" s="4"/>
    </row>
    <row r="216" spans="1:206">
      <c r="A216" s="4">
        <v>50</v>
      </c>
      <c r="B216" s="4">
        <v>0</v>
      </c>
      <c r="C216" s="4">
        <v>0</v>
      </c>
      <c r="D216" s="4">
        <v>1</v>
      </c>
      <c r="E216" s="4">
        <v>224</v>
      </c>
      <c r="F216" s="4">
        <f>ROUND(Source!AR188,O216)</f>
        <v>867879.57</v>
      </c>
      <c r="G216" s="4" t="s">
        <v>121</v>
      </c>
      <c r="H216" s="4" t="s">
        <v>122</v>
      </c>
      <c r="I216" s="4"/>
      <c r="J216" s="4"/>
      <c r="K216" s="4">
        <v>224</v>
      </c>
      <c r="L216" s="4">
        <v>27</v>
      </c>
      <c r="M216" s="4">
        <v>3</v>
      </c>
      <c r="N216" s="4" t="s">
        <v>3</v>
      </c>
      <c r="O216" s="4">
        <v>2</v>
      </c>
      <c r="P216" s="4"/>
      <c r="Q216" s="4"/>
      <c r="R216" s="4"/>
      <c r="S216" s="4"/>
      <c r="T216" s="4"/>
      <c r="U216" s="4"/>
      <c r="V216" s="4"/>
      <c r="W216" s="4"/>
    </row>
    <row r="218" spans="1:206">
      <c r="A218" s="2">
        <v>51</v>
      </c>
      <c r="B218" s="2">
        <f>B12</f>
        <v>253</v>
      </c>
      <c r="C218" s="2">
        <f>A12</f>
        <v>1</v>
      </c>
      <c r="D218" s="2">
        <f>ROW(A12)</f>
        <v>12</v>
      </c>
      <c r="E218" s="2"/>
      <c r="F218" s="2" t="str">
        <f>IF(F12&lt;&gt;"",F12,"")</f>
        <v>Новый объект</v>
      </c>
      <c r="G218" s="2" t="str">
        <f>IF(G12&lt;&gt;"",G12,"")</f>
        <v>Таганка Корт СМР</v>
      </c>
      <c r="H218" s="2">
        <v>0</v>
      </c>
      <c r="I218" s="2"/>
      <c r="J218" s="2"/>
      <c r="K218" s="2"/>
      <c r="L218" s="2"/>
      <c r="M218" s="2"/>
      <c r="N218" s="2"/>
      <c r="O218" s="2">
        <f t="shared" ref="O218:T218" si="136">ROUND(O188,2)</f>
        <v>695052.32</v>
      </c>
      <c r="P218" s="2">
        <f t="shared" si="136"/>
        <v>549852.82999999996</v>
      </c>
      <c r="Q218" s="2">
        <f t="shared" si="136"/>
        <v>69417.320000000007</v>
      </c>
      <c r="R218" s="2">
        <f t="shared" si="136"/>
        <v>36550.68</v>
      </c>
      <c r="S218" s="2">
        <f t="shared" si="136"/>
        <v>75782.17</v>
      </c>
      <c r="T218" s="2">
        <f t="shared" si="136"/>
        <v>0</v>
      </c>
      <c r="U218" s="2">
        <f>U188</f>
        <v>276.50950918400002</v>
      </c>
      <c r="V218" s="2">
        <f>V188</f>
        <v>0</v>
      </c>
      <c r="W218" s="2">
        <f>ROUND(W188,2)</f>
        <v>0</v>
      </c>
      <c r="X218" s="2">
        <f>ROUND(X188,2)</f>
        <v>81716.350000000006</v>
      </c>
      <c r="Y218" s="2">
        <f>ROUND(Y188,2)</f>
        <v>33726.339999999997</v>
      </c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>
        <f t="shared" ref="AO218:BD218" si="137">ROUND(AO188,2)</f>
        <v>0</v>
      </c>
      <c r="AP218" s="2">
        <f t="shared" si="137"/>
        <v>0</v>
      </c>
      <c r="AQ218" s="2">
        <f t="shared" si="137"/>
        <v>0</v>
      </c>
      <c r="AR218" s="2">
        <f t="shared" si="137"/>
        <v>867879.57</v>
      </c>
      <c r="AS218" s="2">
        <f t="shared" si="137"/>
        <v>867879.57</v>
      </c>
      <c r="AT218" s="2">
        <f t="shared" si="137"/>
        <v>0</v>
      </c>
      <c r="AU218" s="2">
        <f t="shared" si="137"/>
        <v>0</v>
      </c>
      <c r="AV218" s="2">
        <f t="shared" si="137"/>
        <v>549852.82999999996</v>
      </c>
      <c r="AW218" s="2">
        <f t="shared" si="137"/>
        <v>549852.82999999996</v>
      </c>
      <c r="AX218" s="2">
        <f t="shared" si="137"/>
        <v>0</v>
      </c>
      <c r="AY218" s="2">
        <f t="shared" si="137"/>
        <v>549852.82999999996</v>
      </c>
      <c r="AZ218" s="2">
        <f t="shared" si="137"/>
        <v>0</v>
      </c>
      <c r="BA218" s="2">
        <f t="shared" si="137"/>
        <v>0</v>
      </c>
      <c r="BB218" s="2">
        <f t="shared" si="137"/>
        <v>0</v>
      </c>
      <c r="BC218" s="2">
        <f t="shared" si="137"/>
        <v>0</v>
      </c>
      <c r="BD218" s="2">
        <f t="shared" si="137"/>
        <v>0</v>
      </c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>
        <v>0</v>
      </c>
    </row>
    <row r="220" spans="1:206">
      <c r="A220" s="4">
        <v>50</v>
      </c>
      <c r="B220" s="4">
        <v>0</v>
      </c>
      <c r="C220" s="4">
        <v>0</v>
      </c>
      <c r="D220" s="4">
        <v>1</v>
      </c>
      <c r="E220" s="4">
        <v>201</v>
      </c>
      <c r="F220" s="4">
        <f>ROUND(Source!O218,O220)</f>
        <v>695052.32</v>
      </c>
      <c r="G220" s="4" t="s">
        <v>69</v>
      </c>
      <c r="H220" s="4" t="s">
        <v>70</v>
      </c>
      <c r="I220" s="4"/>
      <c r="J220" s="4"/>
      <c r="K220" s="4">
        <v>201</v>
      </c>
      <c r="L220" s="4">
        <v>1</v>
      </c>
      <c r="M220" s="4">
        <v>3</v>
      </c>
      <c r="N220" s="4" t="s">
        <v>3</v>
      </c>
      <c r="O220" s="4">
        <v>2</v>
      </c>
      <c r="P220" s="4"/>
      <c r="Q220" s="4"/>
      <c r="R220" s="4"/>
      <c r="S220" s="4"/>
      <c r="T220" s="4"/>
      <c r="U220" s="4"/>
      <c r="V220" s="4"/>
      <c r="W220" s="4"/>
    </row>
    <row r="221" spans="1:206">
      <c r="A221" s="4">
        <v>50</v>
      </c>
      <c r="B221" s="4">
        <v>0</v>
      </c>
      <c r="C221" s="4">
        <v>0</v>
      </c>
      <c r="D221" s="4">
        <v>1</v>
      </c>
      <c r="E221" s="4">
        <v>202</v>
      </c>
      <c r="F221" s="4">
        <f>ROUND(Source!P218,O221)</f>
        <v>549852.82999999996</v>
      </c>
      <c r="G221" s="4" t="s">
        <v>71</v>
      </c>
      <c r="H221" s="4" t="s">
        <v>72</v>
      </c>
      <c r="I221" s="4"/>
      <c r="J221" s="4"/>
      <c r="K221" s="4">
        <v>202</v>
      </c>
      <c r="L221" s="4">
        <v>2</v>
      </c>
      <c r="M221" s="4">
        <v>3</v>
      </c>
      <c r="N221" s="4" t="s">
        <v>3</v>
      </c>
      <c r="O221" s="4">
        <v>2</v>
      </c>
      <c r="P221" s="4"/>
      <c r="Q221" s="4"/>
      <c r="R221" s="4"/>
      <c r="S221" s="4"/>
      <c r="T221" s="4"/>
      <c r="U221" s="4"/>
      <c r="V221" s="4"/>
      <c r="W221" s="4"/>
    </row>
    <row r="222" spans="1:206">
      <c r="A222" s="4">
        <v>50</v>
      </c>
      <c r="B222" s="4">
        <v>0</v>
      </c>
      <c r="C222" s="4">
        <v>0</v>
      </c>
      <c r="D222" s="4">
        <v>1</v>
      </c>
      <c r="E222" s="4">
        <v>222</v>
      </c>
      <c r="F222" s="4">
        <f>ROUND(Source!AO218,O222)</f>
        <v>0</v>
      </c>
      <c r="G222" s="4" t="s">
        <v>73</v>
      </c>
      <c r="H222" s="4" t="s">
        <v>74</v>
      </c>
      <c r="I222" s="4"/>
      <c r="J222" s="4"/>
      <c r="K222" s="4">
        <v>222</v>
      </c>
      <c r="L222" s="4">
        <v>3</v>
      </c>
      <c r="M222" s="4">
        <v>3</v>
      </c>
      <c r="N222" s="4" t="s">
        <v>3</v>
      </c>
      <c r="O222" s="4">
        <v>2</v>
      </c>
      <c r="P222" s="4"/>
      <c r="Q222" s="4"/>
      <c r="R222" s="4"/>
      <c r="S222" s="4"/>
      <c r="T222" s="4"/>
      <c r="U222" s="4"/>
      <c r="V222" s="4"/>
      <c r="W222" s="4"/>
    </row>
    <row r="223" spans="1:206">
      <c r="A223" s="4">
        <v>50</v>
      </c>
      <c r="B223" s="4">
        <v>0</v>
      </c>
      <c r="C223" s="4">
        <v>0</v>
      </c>
      <c r="D223" s="4">
        <v>1</v>
      </c>
      <c r="E223" s="4">
        <v>225</v>
      </c>
      <c r="F223" s="4">
        <f>ROUND(Source!AV218,O223)</f>
        <v>549852.82999999996</v>
      </c>
      <c r="G223" s="4" t="s">
        <v>75</v>
      </c>
      <c r="H223" s="4" t="s">
        <v>76</v>
      </c>
      <c r="I223" s="4"/>
      <c r="J223" s="4"/>
      <c r="K223" s="4">
        <v>225</v>
      </c>
      <c r="L223" s="4">
        <v>4</v>
      </c>
      <c r="M223" s="4">
        <v>3</v>
      </c>
      <c r="N223" s="4" t="s">
        <v>3</v>
      </c>
      <c r="O223" s="4">
        <v>2</v>
      </c>
      <c r="P223" s="4"/>
      <c r="Q223" s="4"/>
      <c r="R223" s="4"/>
      <c r="S223" s="4"/>
      <c r="T223" s="4"/>
      <c r="U223" s="4"/>
      <c r="V223" s="4"/>
      <c r="W223" s="4"/>
    </row>
    <row r="224" spans="1:206">
      <c r="A224" s="4">
        <v>50</v>
      </c>
      <c r="B224" s="4">
        <v>0</v>
      </c>
      <c r="C224" s="4">
        <v>0</v>
      </c>
      <c r="D224" s="4">
        <v>1</v>
      </c>
      <c r="E224" s="4">
        <v>226</v>
      </c>
      <c r="F224" s="4">
        <f>ROUND(Source!AW218,O224)</f>
        <v>549852.82999999996</v>
      </c>
      <c r="G224" s="4" t="s">
        <v>77</v>
      </c>
      <c r="H224" s="4" t="s">
        <v>78</v>
      </c>
      <c r="I224" s="4"/>
      <c r="J224" s="4"/>
      <c r="K224" s="4">
        <v>226</v>
      </c>
      <c r="L224" s="4">
        <v>5</v>
      </c>
      <c r="M224" s="4">
        <v>3</v>
      </c>
      <c r="N224" s="4" t="s">
        <v>3</v>
      </c>
      <c r="O224" s="4">
        <v>2</v>
      </c>
      <c r="P224" s="4"/>
      <c r="Q224" s="4"/>
      <c r="R224" s="4"/>
      <c r="S224" s="4"/>
      <c r="T224" s="4"/>
      <c r="U224" s="4"/>
      <c r="V224" s="4"/>
      <c r="W224" s="4"/>
    </row>
    <row r="225" spans="1:23">
      <c r="A225" s="4">
        <v>50</v>
      </c>
      <c r="B225" s="4">
        <v>0</v>
      </c>
      <c r="C225" s="4">
        <v>0</v>
      </c>
      <c r="D225" s="4">
        <v>1</v>
      </c>
      <c r="E225" s="4">
        <v>227</v>
      </c>
      <c r="F225" s="4">
        <f>ROUND(Source!AX218,O225)</f>
        <v>0</v>
      </c>
      <c r="G225" s="4" t="s">
        <v>79</v>
      </c>
      <c r="H225" s="4" t="s">
        <v>80</v>
      </c>
      <c r="I225" s="4"/>
      <c r="J225" s="4"/>
      <c r="K225" s="4">
        <v>227</v>
      </c>
      <c r="L225" s="4">
        <v>6</v>
      </c>
      <c r="M225" s="4">
        <v>3</v>
      </c>
      <c r="N225" s="4" t="s">
        <v>3</v>
      </c>
      <c r="O225" s="4">
        <v>2</v>
      </c>
      <c r="P225" s="4"/>
      <c r="Q225" s="4"/>
      <c r="R225" s="4"/>
      <c r="S225" s="4"/>
      <c r="T225" s="4"/>
      <c r="U225" s="4"/>
      <c r="V225" s="4"/>
      <c r="W225" s="4"/>
    </row>
    <row r="226" spans="1:23">
      <c r="A226" s="4">
        <v>50</v>
      </c>
      <c r="B226" s="4">
        <v>0</v>
      </c>
      <c r="C226" s="4">
        <v>0</v>
      </c>
      <c r="D226" s="4">
        <v>1</v>
      </c>
      <c r="E226" s="4">
        <v>228</v>
      </c>
      <c r="F226" s="4">
        <f>ROUND(Source!AY218,O226)</f>
        <v>549852.82999999996</v>
      </c>
      <c r="G226" s="4" t="s">
        <v>81</v>
      </c>
      <c r="H226" s="4" t="s">
        <v>82</v>
      </c>
      <c r="I226" s="4"/>
      <c r="J226" s="4"/>
      <c r="K226" s="4">
        <v>228</v>
      </c>
      <c r="L226" s="4">
        <v>7</v>
      </c>
      <c r="M226" s="4">
        <v>3</v>
      </c>
      <c r="N226" s="4" t="s">
        <v>3</v>
      </c>
      <c r="O226" s="4">
        <v>2</v>
      </c>
      <c r="P226" s="4"/>
      <c r="Q226" s="4"/>
      <c r="R226" s="4"/>
      <c r="S226" s="4"/>
      <c r="T226" s="4"/>
      <c r="U226" s="4"/>
      <c r="V226" s="4"/>
      <c r="W226" s="4"/>
    </row>
    <row r="227" spans="1:23">
      <c r="A227" s="4">
        <v>50</v>
      </c>
      <c r="B227" s="4">
        <v>0</v>
      </c>
      <c r="C227" s="4">
        <v>0</v>
      </c>
      <c r="D227" s="4">
        <v>1</v>
      </c>
      <c r="E227" s="4">
        <v>216</v>
      </c>
      <c r="F227" s="4">
        <f>ROUND(Source!AP218,O227)</f>
        <v>0</v>
      </c>
      <c r="G227" s="4" t="s">
        <v>83</v>
      </c>
      <c r="H227" s="4" t="s">
        <v>84</v>
      </c>
      <c r="I227" s="4"/>
      <c r="J227" s="4"/>
      <c r="K227" s="4">
        <v>216</v>
      </c>
      <c r="L227" s="4">
        <v>8</v>
      </c>
      <c r="M227" s="4">
        <v>3</v>
      </c>
      <c r="N227" s="4" t="s">
        <v>3</v>
      </c>
      <c r="O227" s="4">
        <v>2</v>
      </c>
      <c r="P227" s="4"/>
      <c r="Q227" s="4"/>
      <c r="R227" s="4"/>
      <c r="S227" s="4"/>
      <c r="T227" s="4"/>
      <c r="U227" s="4"/>
      <c r="V227" s="4"/>
      <c r="W227" s="4"/>
    </row>
    <row r="228" spans="1:23">
      <c r="A228" s="4">
        <v>50</v>
      </c>
      <c r="B228" s="4">
        <v>0</v>
      </c>
      <c r="C228" s="4">
        <v>0</v>
      </c>
      <c r="D228" s="4">
        <v>1</v>
      </c>
      <c r="E228" s="4">
        <v>223</v>
      </c>
      <c r="F228" s="4">
        <f>ROUND(Source!AQ218,O228)</f>
        <v>0</v>
      </c>
      <c r="G228" s="4" t="s">
        <v>85</v>
      </c>
      <c r="H228" s="4" t="s">
        <v>86</v>
      </c>
      <c r="I228" s="4"/>
      <c r="J228" s="4"/>
      <c r="K228" s="4">
        <v>223</v>
      </c>
      <c r="L228" s="4">
        <v>9</v>
      </c>
      <c r="M228" s="4">
        <v>3</v>
      </c>
      <c r="N228" s="4" t="s">
        <v>3</v>
      </c>
      <c r="O228" s="4">
        <v>2</v>
      </c>
      <c r="P228" s="4"/>
      <c r="Q228" s="4"/>
      <c r="R228" s="4"/>
      <c r="S228" s="4"/>
      <c r="T228" s="4"/>
      <c r="U228" s="4"/>
      <c r="V228" s="4"/>
      <c r="W228" s="4"/>
    </row>
    <row r="229" spans="1:23">
      <c r="A229" s="4">
        <v>50</v>
      </c>
      <c r="B229" s="4">
        <v>0</v>
      </c>
      <c r="C229" s="4">
        <v>0</v>
      </c>
      <c r="D229" s="4">
        <v>1</v>
      </c>
      <c r="E229" s="4">
        <v>229</v>
      </c>
      <c r="F229" s="4">
        <f>ROUND(Source!AZ218,O229)</f>
        <v>0</v>
      </c>
      <c r="G229" s="4" t="s">
        <v>87</v>
      </c>
      <c r="H229" s="4" t="s">
        <v>88</v>
      </c>
      <c r="I229" s="4"/>
      <c r="J229" s="4"/>
      <c r="K229" s="4">
        <v>229</v>
      </c>
      <c r="L229" s="4">
        <v>10</v>
      </c>
      <c r="M229" s="4">
        <v>3</v>
      </c>
      <c r="N229" s="4" t="s">
        <v>3</v>
      </c>
      <c r="O229" s="4">
        <v>2</v>
      </c>
      <c r="P229" s="4"/>
      <c r="Q229" s="4"/>
      <c r="R229" s="4"/>
      <c r="S229" s="4"/>
      <c r="T229" s="4"/>
      <c r="U229" s="4"/>
      <c r="V229" s="4"/>
      <c r="W229" s="4"/>
    </row>
    <row r="230" spans="1:23">
      <c r="A230" s="4">
        <v>50</v>
      </c>
      <c r="B230" s="4">
        <v>0</v>
      </c>
      <c r="C230" s="4">
        <v>0</v>
      </c>
      <c r="D230" s="4">
        <v>1</v>
      </c>
      <c r="E230" s="4">
        <v>203</v>
      </c>
      <c r="F230" s="4">
        <f>ROUND(Source!Q218,O230)</f>
        <v>69417.320000000007</v>
      </c>
      <c r="G230" s="4" t="s">
        <v>89</v>
      </c>
      <c r="H230" s="4" t="s">
        <v>90</v>
      </c>
      <c r="I230" s="4"/>
      <c r="J230" s="4"/>
      <c r="K230" s="4">
        <v>203</v>
      </c>
      <c r="L230" s="4">
        <v>11</v>
      </c>
      <c r="M230" s="4">
        <v>3</v>
      </c>
      <c r="N230" s="4" t="s">
        <v>3</v>
      </c>
      <c r="O230" s="4">
        <v>2</v>
      </c>
      <c r="P230" s="4"/>
      <c r="Q230" s="4"/>
      <c r="R230" s="4"/>
      <c r="S230" s="4"/>
      <c r="T230" s="4"/>
      <c r="U230" s="4"/>
      <c r="V230" s="4"/>
      <c r="W230" s="4"/>
    </row>
    <row r="231" spans="1:23">
      <c r="A231" s="4">
        <v>50</v>
      </c>
      <c r="B231" s="4">
        <v>0</v>
      </c>
      <c r="C231" s="4">
        <v>0</v>
      </c>
      <c r="D231" s="4">
        <v>1</v>
      </c>
      <c r="E231" s="4">
        <v>231</v>
      </c>
      <c r="F231" s="4">
        <f>ROUND(Source!BB218,O231)</f>
        <v>0</v>
      </c>
      <c r="G231" s="4" t="s">
        <v>91</v>
      </c>
      <c r="H231" s="4" t="s">
        <v>92</v>
      </c>
      <c r="I231" s="4"/>
      <c r="J231" s="4"/>
      <c r="K231" s="4">
        <v>231</v>
      </c>
      <c r="L231" s="4">
        <v>12</v>
      </c>
      <c r="M231" s="4">
        <v>3</v>
      </c>
      <c r="N231" s="4" t="s">
        <v>3</v>
      </c>
      <c r="O231" s="4">
        <v>2</v>
      </c>
      <c r="P231" s="4"/>
      <c r="Q231" s="4"/>
      <c r="R231" s="4"/>
      <c r="S231" s="4"/>
      <c r="T231" s="4"/>
      <c r="U231" s="4"/>
      <c r="V231" s="4"/>
      <c r="W231" s="4"/>
    </row>
    <row r="232" spans="1:23">
      <c r="A232" s="4">
        <v>50</v>
      </c>
      <c r="B232" s="4">
        <v>0</v>
      </c>
      <c r="C232" s="4">
        <v>0</v>
      </c>
      <c r="D232" s="4">
        <v>1</v>
      </c>
      <c r="E232" s="4">
        <v>204</v>
      </c>
      <c r="F232" s="4">
        <f>ROUND(Source!R218,O232)</f>
        <v>36550.68</v>
      </c>
      <c r="G232" s="4" t="s">
        <v>93</v>
      </c>
      <c r="H232" s="4" t="s">
        <v>94</v>
      </c>
      <c r="I232" s="4"/>
      <c r="J232" s="4"/>
      <c r="K232" s="4">
        <v>204</v>
      </c>
      <c r="L232" s="4">
        <v>13</v>
      </c>
      <c r="M232" s="4">
        <v>3</v>
      </c>
      <c r="N232" s="4" t="s">
        <v>3</v>
      </c>
      <c r="O232" s="4">
        <v>2</v>
      </c>
      <c r="P232" s="4"/>
      <c r="Q232" s="4"/>
      <c r="R232" s="4"/>
      <c r="S232" s="4"/>
      <c r="T232" s="4"/>
      <c r="U232" s="4"/>
      <c r="V232" s="4"/>
      <c r="W232" s="4"/>
    </row>
    <row r="233" spans="1:23">
      <c r="A233" s="4">
        <v>50</v>
      </c>
      <c r="B233" s="4">
        <v>0</v>
      </c>
      <c r="C233" s="4">
        <v>0</v>
      </c>
      <c r="D233" s="4">
        <v>1</v>
      </c>
      <c r="E233" s="4">
        <v>205</v>
      </c>
      <c r="F233" s="4">
        <f>ROUND(Source!S218,O233)</f>
        <v>75782.17</v>
      </c>
      <c r="G233" s="4" t="s">
        <v>95</v>
      </c>
      <c r="H233" s="4" t="s">
        <v>96</v>
      </c>
      <c r="I233" s="4"/>
      <c r="J233" s="4"/>
      <c r="K233" s="4">
        <v>205</v>
      </c>
      <c r="L233" s="4">
        <v>14</v>
      </c>
      <c r="M233" s="4">
        <v>3</v>
      </c>
      <c r="N233" s="4" t="s">
        <v>3</v>
      </c>
      <c r="O233" s="4">
        <v>2</v>
      </c>
      <c r="P233" s="4"/>
      <c r="Q233" s="4"/>
      <c r="R233" s="4"/>
      <c r="S233" s="4"/>
      <c r="T233" s="4"/>
      <c r="U233" s="4"/>
      <c r="V233" s="4"/>
      <c r="W233" s="4"/>
    </row>
    <row r="234" spans="1:23">
      <c r="A234" s="4">
        <v>50</v>
      </c>
      <c r="B234" s="4">
        <v>0</v>
      </c>
      <c r="C234" s="4">
        <v>0</v>
      </c>
      <c r="D234" s="4">
        <v>1</v>
      </c>
      <c r="E234" s="4">
        <v>232</v>
      </c>
      <c r="F234" s="4">
        <f>ROUND(Source!BC218,O234)</f>
        <v>0</v>
      </c>
      <c r="G234" s="4" t="s">
        <v>97</v>
      </c>
      <c r="H234" s="4" t="s">
        <v>98</v>
      </c>
      <c r="I234" s="4"/>
      <c r="J234" s="4"/>
      <c r="K234" s="4">
        <v>232</v>
      </c>
      <c r="L234" s="4">
        <v>15</v>
      </c>
      <c r="M234" s="4">
        <v>3</v>
      </c>
      <c r="N234" s="4" t="s">
        <v>3</v>
      </c>
      <c r="O234" s="4">
        <v>2</v>
      </c>
      <c r="P234" s="4"/>
      <c r="Q234" s="4"/>
      <c r="R234" s="4"/>
      <c r="S234" s="4"/>
      <c r="T234" s="4"/>
      <c r="U234" s="4"/>
      <c r="V234" s="4"/>
      <c r="W234" s="4"/>
    </row>
    <row r="235" spans="1:23">
      <c r="A235" s="4">
        <v>50</v>
      </c>
      <c r="B235" s="4">
        <v>0</v>
      </c>
      <c r="C235" s="4">
        <v>0</v>
      </c>
      <c r="D235" s="4">
        <v>1</v>
      </c>
      <c r="E235" s="4">
        <v>214</v>
      </c>
      <c r="F235" s="4">
        <f>ROUND(Source!AS218,O235)</f>
        <v>867879.57</v>
      </c>
      <c r="G235" s="4" t="s">
        <v>99</v>
      </c>
      <c r="H235" s="4" t="s">
        <v>100</v>
      </c>
      <c r="I235" s="4"/>
      <c r="J235" s="4"/>
      <c r="K235" s="4">
        <v>214</v>
      </c>
      <c r="L235" s="4">
        <v>16</v>
      </c>
      <c r="M235" s="4">
        <v>3</v>
      </c>
      <c r="N235" s="4" t="s">
        <v>3</v>
      </c>
      <c r="O235" s="4">
        <v>2</v>
      </c>
      <c r="P235" s="4"/>
      <c r="Q235" s="4"/>
      <c r="R235" s="4"/>
      <c r="S235" s="4"/>
      <c r="T235" s="4"/>
      <c r="U235" s="4"/>
      <c r="V235" s="4"/>
      <c r="W235" s="4"/>
    </row>
    <row r="236" spans="1:23">
      <c r="A236" s="4">
        <v>50</v>
      </c>
      <c r="B236" s="4">
        <v>0</v>
      </c>
      <c r="C236" s="4">
        <v>0</v>
      </c>
      <c r="D236" s="4">
        <v>1</v>
      </c>
      <c r="E236" s="4">
        <v>215</v>
      </c>
      <c r="F236" s="4">
        <f>ROUND(Source!AT218,O236)</f>
        <v>0</v>
      </c>
      <c r="G236" s="4" t="s">
        <v>101</v>
      </c>
      <c r="H236" s="4" t="s">
        <v>102</v>
      </c>
      <c r="I236" s="4"/>
      <c r="J236" s="4"/>
      <c r="K236" s="4">
        <v>215</v>
      </c>
      <c r="L236" s="4">
        <v>17</v>
      </c>
      <c r="M236" s="4">
        <v>3</v>
      </c>
      <c r="N236" s="4" t="s">
        <v>3</v>
      </c>
      <c r="O236" s="4">
        <v>2</v>
      </c>
      <c r="P236" s="4"/>
      <c r="Q236" s="4"/>
      <c r="R236" s="4"/>
      <c r="S236" s="4"/>
      <c r="T236" s="4"/>
      <c r="U236" s="4"/>
      <c r="V236" s="4"/>
      <c r="W236" s="4"/>
    </row>
    <row r="237" spans="1:23">
      <c r="A237" s="4">
        <v>50</v>
      </c>
      <c r="B237" s="4">
        <v>0</v>
      </c>
      <c r="C237" s="4">
        <v>0</v>
      </c>
      <c r="D237" s="4">
        <v>1</v>
      </c>
      <c r="E237" s="4">
        <v>217</v>
      </c>
      <c r="F237" s="4">
        <f>ROUND(Source!AU218,O237)</f>
        <v>0</v>
      </c>
      <c r="G237" s="4" t="s">
        <v>103</v>
      </c>
      <c r="H237" s="4" t="s">
        <v>104</v>
      </c>
      <c r="I237" s="4"/>
      <c r="J237" s="4"/>
      <c r="K237" s="4">
        <v>217</v>
      </c>
      <c r="L237" s="4">
        <v>18</v>
      </c>
      <c r="M237" s="4">
        <v>3</v>
      </c>
      <c r="N237" s="4" t="s">
        <v>3</v>
      </c>
      <c r="O237" s="4">
        <v>2</v>
      </c>
      <c r="P237" s="4"/>
      <c r="Q237" s="4"/>
      <c r="R237" s="4"/>
      <c r="S237" s="4"/>
      <c r="T237" s="4"/>
      <c r="U237" s="4"/>
      <c r="V237" s="4"/>
      <c r="W237" s="4"/>
    </row>
    <row r="238" spans="1:23">
      <c r="A238" s="4">
        <v>50</v>
      </c>
      <c r="B238" s="4">
        <v>0</v>
      </c>
      <c r="C238" s="4">
        <v>0</v>
      </c>
      <c r="D238" s="4">
        <v>1</v>
      </c>
      <c r="E238" s="4">
        <v>230</v>
      </c>
      <c r="F238" s="4">
        <f>ROUND(Source!BA218,O238)</f>
        <v>0</v>
      </c>
      <c r="G238" s="4" t="s">
        <v>105</v>
      </c>
      <c r="H238" s="4" t="s">
        <v>106</v>
      </c>
      <c r="I238" s="4"/>
      <c r="J238" s="4"/>
      <c r="K238" s="4">
        <v>230</v>
      </c>
      <c r="L238" s="4">
        <v>19</v>
      </c>
      <c r="M238" s="4">
        <v>3</v>
      </c>
      <c r="N238" s="4" t="s">
        <v>3</v>
      </c>
      <c r="O238" s="4">
        <v>2</v>
      </c>
      <c r="P238" s="4"/>
      <c r="Q238" s="4"/>
      <c r="R238" s="4"/>
      <c r="S238" s="4"/>
      <c r="T238" s="4"/>
      <c r="U238" s="4"/>
      <c r="V238" s="4"/>
      <c r="W238" s="4"/>
    </row>
    <row r="239" spans="1:23">
      <c r="A239" s="4">
        <v>50</v>
      </c>
      <c r="B239" s="4">
        <v>0</v>
      </c>
      <c r="C239" s="4">
        <v>0</v>
      </c>
      <c r="D239" s="4">
        <v>1</v>
      </c>
      <c r="E239" s="4">
        <v>206</v>
      </c>
      <c r="F239" s="4">
        <f>ROUND(Source!T218,O239)</f>
        <v>0</v>
      </c>
      <c r="G239" s="4" t="s">
        <v>107</v>
      </c>
      <c r="H239" s="4" t="s">
        <v>108</v>
      </c>
      <c r="I239" s="4"/>
      <c r="J239" s="4"/>
      <c r="K239" s="4">
        <v>206</v>
      </c>
      <c r="L239" s="4">
        <v>20</v>
      </c>
      <c r="M239" s="4">
        <v>3</v>
      </c>
      <c r="N239" s="4" t="s">
        <v>3</v>
      </c>
      <c r="O239" s="4">
        <v>2</v>
      </c>
      <c r="P239" s="4"/>
      <c r="Q239" s="4"/>
      <c r="R239" s="4"/>
      <c r="S239" s="4"/>
      <c r="T239" s="4"/>
      <c r="U239" s="4"/>
      <c r="V239" s="4"/>
      <c r="W239" s="4"/>
    </row>
    <row r="240" spans="1:23">
      <c r="A240" s="4">
        <v>50</v>
      </c>
      <c r="B240" s="4">
        <v>0</v>
      </c>
      <c r="C240" s="4">
        <v>0</v>
      </c>
      <c r="D240" s="4">
        <v>1</v>
      </c>
      <c r="E240" s="4">
        <v>207</v>
      </c>
      <c r="F240" s="4">
        <f>Source!U218</f>
        <v>276.50950918400002</v>
      </c>
      <c r="G240" s="4" t="s">
        <v>109</v>
      </c>
      <c r="H240" s="4" t="s">
        <v>110</v>
      </c>
      <c r="I240" s="4"/>
      <c r="J240" s="4"/>
      <c r="K240" s="4">
        <v>207</v>
      </c>
      <c r="L240" s="4">
        <v>21</v>
      </c>
      <c r="M240" s="4">
        <v>3</v>
      </c>
      <c r="N240" s="4" t="s">
        <v>3</v>
      </c>
      <c r="O240" s="4">
        <v>-1</v>
      </c>
      <c r="P240" s="4"/>
      <c r="Q240" s="4"/>
      <c r="R240" s="4"/>
      <c r="S240" s="4"/>
      <c r="T240" s="4"/>
      <c r="U240" s="4"/>
      <c r="V240" s="4"/>
      <c r="W240" s="4"/>
    </row>
    <row r="241" spans="1:27">
      <c r="A241" s="4">
        <v>50</v>
      </c>
      <c r="B241" s="4">
        <v>0</v>
      </c>
      <c r="C241" s="4">
        <v>0</v>
      </c>
      <c r="D241" s="4">
        <v>1</v>
      </c>
      <c r="E241" s="4">
        <v>208</v>
      </c>
      <c r="F241" s="4">
        <f>Source!V218</f>
        <v>0</v>
      </c>
      <c r="G241" s="4" t="s">
        <v>111</v>
      </c>
      <c r="H241" s="4" t="s">
        <v>112</v>
      </c>
      <c r="I241" s="4"/>
      <c r="J241" s="4"/>
      <c r="K241" s="4">
        <v>208</v>
      </c>
      <c r="L241" s="4">
        <v>22</v>
      </c>
      <c r="M241" s="4">
        <v>3</v>
      </c>
      <c r="N241" s="4" t="s">
        <v>3</v>
      </c>
      <c r="O241" s="4">
        <v>-1</v>
      </c>
      <c r="P241" s="4"/>
      <c r="Q241" s="4"/>
      <c r="R241" s="4"/>
      <c r="S241" s="4"/>
      <c r="T241" s="4"/>
      <c r="U241" s="4"/>
      <c r="V241" s="4"/>
      <c r="W241" s="4"/>
    </row>
    <row r="242" spans="1:27">
      <c r="A242" s="4">
        <v>50</v>
      </c>
      <c r="B242" s="4">
        <v>0</v>
      </c>
      <c r="C242" s="4">
        <v>0</v>
      </c>
      <c r="D242" s="4">
        <v>1</v>
      </c>
      <c r="E242" s="4">
        <v>209</v>
      </c>
      <c r="F242" s="4">
        <f>ROUND(Source!W218,O242)</f>
        <v>0</v>
      </c>
      <c r="G242" s="4" t="s">
        <v>113</v>
      </c>
      <c r="H242" s="4" t="s">
        <v>114</v>
      </c>
      <c r="I242" s="4"/>
      <c r="J242" s="4"/>
      <c r="K242" s="4">
        <v>209</v>
      </c>
      <c r="L242" s="4">
        <v>23</v>
      </c>
      <c r="M242" s="4">
        <v>3</v>
      </c>
      <c r="N242" s="4" t="s">
        <v>3</v>
      </c>
      <c r="O242" s="4">
        <v>2</v>
      </c>
      <c r="P242" s="4"/>
      <c r="Q242" s="4"/>
      <c r="R242" s="4"/>
      <c r="S242" s="4"/>
      <c r="T242" s="4"/>
      <c r="U242" s="4"/>
      <c r="V242" s="4"/>
      <c r="W242" s="4"/>
    </row>
    <row r="243" spans="1:27">
      <c r="A243" s="4">
        <v>50</v>
      </c>
      <c r="B243" s="4">
        <v>0</v>
      </c>
      <c r="C243" s="4">
        <v>0</v>
      </c>
      <c r="D243" s="4">
        <v>1</v>
      </c>
      <c r="E243" s="4">
        <v>233</v>
      </c>
      <c r="F243" s="4">
        <f>ROUND(Source!BD218,O243)</f>
        <v>0</v>
      </c>
      <c r="G243" s="4" t="s">
        <v>115</v>
      </c>
      <c r="H243" s="4" t="s">
        <v>116</v>
      </c>
      <c r="I243" s="4"/>
      <c r="J243" s="4"/>
      <c r="K243" s="4">
        <v>233</v>
      </c>
      <c r="L243" s="4">
        <v>24</v>
      </c>
      <c r="M243" s="4">
        <v>3</v>
      </c>
      <c r="N243" s="4" t="s">
        <v>3</v>
      </c>
      <c r="O243" s="4">
        <v>2</v>
      </c>
      <c r="P243" s="4"/>
      <c r="Q243" s="4"/>
      <c r="R243" s="4"/>
      <c r="S243" s="4"/>
      <c r="T243" s="4"/>
      <c r="U243" s="4"/>
      <c r="V243" s="4"/>
      <c r="W243" s="4"/>
    </row>
    <row r="244" spans="1:27">
      <c r="A244" s="4">
        <v>50</v>
      </c>
      <c r="B244" s="4">
        <v>0</v>
      </c>
      <c r="C244" s="4">
        <v>0</v>
      </c>
      <c r="D244" s="4">
        <v>1</v>
      </c>
      <c r="E244" s="4">
        <v>210</v>
      </c>
      <c r="F244" s="4">
        <f>ROUND(Source!X218,O244)</f>
        <v>81716.350000000006</v>
      </c>
      <c r="G244" s="4" t="s">
        <v>117</v>
      </c>
      <c r="H244" s="4" t="s">
        <v>118</v>
      </c>
      <c r="I244" s="4"/>
      <c r="J244" s="4"/>
      <c r="K244" s="4">
        <v>210</v>
      </c>
      <c r="L244" s="4">
        <v>25</v>
      </c>
      <c r="M244" s="4">
        <v>3</v>
      </c>
      <c r="N244" s="4" t="s">
        <v>3</v>
      </c>
      <c r="O244" s="4">
        <v>2</v>
      </c>
      <c r="P244" s="4"/>
      <c r="Q244" s="4"/>
      <c r="R244" s="4"/>
      <c r="S244" s="4"/>
      <c r="T244" s="4"/>
      <c r="U244" s="4"/>
      <c r="V244" s="4"/>
      <c r="W244" s="4"/>
    </row>
    <row r="245" spans="1:27">
      <c r="A245" s="4">
        <v>50</v>
      </c>
      <c r="B245" s="4">
        <v>0</v>
      </c>
      <c r="C245" s="4">
        <v>0</v>
      </c>
      <c r="D245" s="4">
        <v>1</v>
      </c>
      <c r="E245" s="4">
        <v>211</v>
      </c>
      <c r="F245" s="4">
        <f>ROUND(Source!Y218,O245)</f>
        <v>33726.339999999997</v>
      </c>
      <c r="G245" s="4" t="s">
        <v>119</v>
      </c>
      <c r="H245" s="4" t="s">
        <v>120</v>
      </c>
      <c r="I245" s="4"/>
      <c r="J245" s="4"/>
      <c r="K245" s="4">
        <v>211</v>
      </c>
      <c r="L245" s="4">
        <v>26</v>
      </c>
      <c r="M245" s="4">
        <v>3</v>
      </c>
      <c r="N245" s="4" t="s">
        <v>3</v>
      </c>
      <c r="O245" s="4">
        <v>2</v>
      </c>
      <c r="P245" s="4"/>
      <c r="Q245" s="4"/>
      <c r="R245" s="4"/>
      <c r="S245" s="4"/>
      <c r="T245" s="4"/>
      <c r="U245" s="4"/>
      <c r="V245" s="4"/>
      <c r="W245" s="4"/>
    </row>
    <row r="246" spans="1:27">
      <c r="A246" s="4">
        <v>50</v>
      </c>
      <c r="B246" s="4">
        <v>0</v>
      </c>
      <c r="C246" s="4">
        <v>0</v>
      </c>
      <c r="D246" s="4">
        <v>1</v>
      </c>
      <c r="E246" s="4">
        <v>224</v>
      </c>
      <c r="F246" s="4">
        <f>ROUND(Source!AR218,O246)</f>
        <v>867879.57</v>
      </c>
      <c r="G246" s="4" t="s">
        <v>121</v>
      </c>
      <c r="H246" s="4" t="s">
        <v>122</v>
      </c>
      <c r="I246" s="4"/>
      <c r="J246" s="4"/>
      <c r="K246" s="4">
        <v>224</v>
      </c>
      <c r="L246" s="4">
        <v>27</v>
      </c>
      <c r="M246" s="4">
        <v>3</v>
      </c>
      <c r="N246" s="4" t="s">
        <v>3</v>
      </c>
      <c r="O246" s="4">
        <v>2</v>
      </c>
      <c r="P246" s="4"/>
      <c r="Q246" s="4"/>
      <c r="R246" s="4"/>
      <c r="S246" s="4"/>
      <c r="T246" s="4"/>
      <c r="U246" s="4"/>
      <c r="V246" s="4"/>
      <c r="W246" s="4"/>
    </row>
    <row r="247" spans="1:27">
      <c r="A247" s="4">
        <v>50</v>
      </c>
      <c r="B247" s="4">
        <v>1</v>
      </c>
      <c r="C247" s="4">
        <v>0</v>
      </c>
      <c r="D247" s="4">
        <v>2</v>
      </c>
      <c r="E247" s="4">
        <v>0</v>
      </c>
      <c r="F247" s="4">
        <v>0</v>
      </c>
      <c r="G247" s="4" t="s">
        <v>15</v>
      </c>
      <c r="H247" s="4" t="s">
        <v>166</v>
      </c>
      <c r="I247" s="4"/>
      <c r="J247" s="4"/>
      <c r="K247" s="4">
        <v>212</v>
      </c>
      <c r="L247" s="4">
        <v>28</v>
      </c>
      <c r="M247" s="4">
        <v>0</v>
      </c>
      <c r="N247" s="4" t="s">
        <v>3</v>
      </c>
      <c r="O247" s="4">
        <v>2</v>
      </c>
      <c r="P247" s="4"/>
      <c r="Q247" s="4"/>
      <c r="R247" s="4"/>
      <c r="S247" s="4"/>
      <c r="T247" s="4"/>
      <c r="U247" s="4"/>
      <c r="V247" s="4"/>
      <c r="W247" s="4"/>
    </row>
    <row r="248" spans="1:27">
      <c r="A248" s="4">
        <v>50</v>
      </c>
      <c r="B248" s="4">
        <v>1</v>
      </c>
      <c r="C248" s="4">
        <v>0</v>
      </c>
      <c r="D248" s="4">
        <v>2</v>
      </c>
      <c r="E248" s="4">
        <v>0</v>
      </c>
      <c r="F248" s="4">
        <v>0</v>
      </c>
      <c r="G248" s="4" t="s">
        <v>23</v>
      </c>
      <c r="H248" s="4" t="s">
        <v>121</v>
      </c>
      <c r="I248" s="4"/>
      <c r="J248" s="4"/>
      <c r="K248" s="4">
        <v>212</v>
      </c>
      <c r="L248" s="4">
        <v>29</v>
      </c>
      <c r="M248" s="4">
        <v>0</v>
      </c>
      <c r="N248" s="4" t="s">
        <v>3</v>
      </c>
      <c r="O248" s="4">
        <v>2</v>
      </c>
      <c r="P248" s="4"/>
      <c r="Q248" s="4"/>
      <c r="R248" s="4"/>
      <c r="S248" s="4"/>
      <c r="T248" s="4"/>
      <c r="U248" s="4"/>
      <c r="V248" s="4"/>
      <c r="W248" s="4"/>
    </row>
    <row r="251" spans="1:27">
      <c r="A251">
        <v>-1</v>
      </c>
    </row>
    <row r="253" spans="1:27">
      <c r="A253" s="3">
        <v>75</v>
      </c>
      <c r="B253" s="3" t="s">
        <v>167</v>
      </c>
      <c r="C253" s="3">
        <v>2021</v>
      </c>
      <c r="D253" s="3">
        <v>0</v>
      </c>
      <c r="E253" s="3">
        <v>1</v>
      </c>
      <c r="F253" s="3"/>
      <c r="G253" s="3">
        <v>0</v>
      </c>
      <c r="H253" s="3">
        <v>2</v>
      </c>
      <c r="I253" s="3">
        <v>1</v>
      </c>
      <c r="J253" s="3">
        <v>1</v>
      </c>
      <c r="K253" s="3">
        <v>93</v>
      </c>
      <c r="L253" s="3">
        <v>64</v>
      </c>
      <c r="M253" s="3">
        <v>0</v>
      </c>
      <c r="N253" s="3">
        <v>33985563</v>
      </c>
      <c r="O253" s="3">
        <v>1</v>
      </c>
    </row>
    <row r="254" spans="1:27">
      <c r="A254" s="5">
        <v>1</v>
      </c>
      <c r="B254" s="5" t="s">
        <v>168</v>
      </c>
      <c r="C254" s="5" t="s">
        <v>169</v>
      </c>
      <c r="D254" s="5">
        <v>0</v>
      </c>
      <c r="E254" s="5">
        <v>0</v>
      </c>
      <c r="F254" s="5">
        <v>1</v>
      </c>
      <c r="G254" s="5">
        <v>1</v>
      </c>
      <c r="H254" s="5">
        <v>0</v>
      </c>
      <c r="I254" s="5">
        <v>2</v>
      </c>
      <c r="J254" s="5">
        <v>1</v>
      </c>
      <c r="K254" s="5">
        <v>1</v>
      </c>
      <c r="L254" s="5">
        <v>1</v>
      </c>
      <c r="M254" s="5">
        <v>1</v>
      </c>
      <c r="N254" s="5">
        <v>1</v>
      </c>
      <c r="O254" s="5">
        <v>1</v>
      </c>
      <c r="P254" s="5">
        <v>1</v>
      </c>
      <c r="Q254" s="5">
        <v>1</v>
      </c>
      <c r="R254" s="5" t="s">
        <v>3</v>
      </c>
      <c r="S254" s="5" t="s">
        <v>3</v>
      </c>
      <c r="T254" s="5" t="s">
        <v>3</v>
      </c>
      <c r="U254" s="5" t="s">
        <v>3</v>
      </c>
      <c r="V254" s="5" t="s">
        <v>3</v>
      </c>
      <c r="W254" s="5" t="s">
        <v>3</v>
      </c>
      <c r="X254" s="5" t="s">
        <v>3</v>
      </c>
      <c r="Y254" s="5" t="s">
        <v>3</v>
      </c>
      <c r="Z254" s="5" t="s">
        <v>3</v>
      </c>
      <c r="AA254" s="5" t="s">
        <v>3</v>
      </c>
    </row>
    <row r="258" spans="1:5">
      <c r="A258">
        <v>65</v>
      </c>
      <c r="C258">
        <v>1</v>
      </c>
      <c r="D258">
        <v>0</v>
      </c>
      <c r="E258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C54"/>
  <sheetViews>
    <sheetView workbookViewId="0"/>
  </sheetViews>
  <sheetFormatPr defaultColWidth="9.109375" defaultRowHeight="13.2"/>
  <cols>
    <col min="1" max="256" width="9.109375" customWidth="1"/>
  </cols>
  <sheetData>
    <row r="1" spans="1:133">
      <c r="A1">
        <v>0</v>
      </c>
      <c r="B1" t="s">
        <v>0</v>
      </c>
      <c r="D1" t="s">
        <v>170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0</v>
      </c>
      <c r="L1">
        <v>35366</v>
      </c>
      <c r="M1">
        <v>10</v>
      </c>
      <c r="N1">
        <v>11</v>
      </c>
      <c r="O1">
        <v>0</v>
      </c>
      <c r="P1">
        <v>0</v>
      </c>
      <c r="Q1">
        <v>6</v>
      </c>
    </row>
    <row r="12" spans="1:133">
      <c r="A12" s="1">
        <v>1</v>
      </c>
      <c r="B12" s="1">
        <v>53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157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11</v>
      </c>
      <c r="CF12" s="1">
        <v>0</v>
      </c>
      <c r="CG12" s="1">
        <v>0</v>
      </c>
      <c r="CH12" s="1">
        <v>17113096</v>
      </c>
      <c r="CI12" s="1" t="s">
        <v>3</v>
      </c>
      <c r="CJ12" s="1" t="s">
        <v>3</v>
      </c>
      <c r="CK12" s="1">
        <v>58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>
      <c r="A14" s="1">
        <v>22</v>
      </c>
      <c r="B14" s="1">
        <v>0</v>
      </c>
      <c r="C14" s="1">
        <v>0</v>
      </c>
      <c r="D14" s="1">
        <v>33985563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>
      <c r="A16" s="6">
        <v>3</v>
      </c>
      <c r="B16" s="6">
        <v>1</v>
      </c>
      <c r="C16" s="6" t="s">
        <v>12</v>
      </c>
      <c r="D16" s="6" t="s">
        <v>12</v>
      </c>
      <c r="E16" s="7">
        <f>(Source!F205)/1000</f>
        <v>867.87956999999994</v>
      </c>
      <c r="F16" s="7">
        <f>(Source!F206)/1000</f>
        <v>0</v>
      </c>
      <c r="G16" s="7">
        <f>(Source!F197)/1000</f>
        <v>0</v>
      </c>
      <c r="H16" s="7">
        <f>(Source!F207)/1000+(Source!F208)/1000</f>
        <v>0</v>
      </c>
      <c r="I16" s="7">
        <f>E16+F16+G16+H16</f>
        <v>867.87956999999994</v>
      </c>
      <c r="J16" s="7">
        <f>(Source!F203)/1000</f>
        <v>75.782169999999994</v>
      </c>
      <c r="AI16" s="6">
        <v>0</v>
      </c>
      <c r="AJ16" s="6">
        <v>0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695052.32</v>
      </c>
      <c r="AU16" s="7">
        <v>549852.82999999996</v>
      </c>
      <c r="AV16" s="7">
        <v>0</v>
      </c>
      <c r="AW16" s="7">
        <v>0</v>
      </c>
      <c r="AX16" s="7">
        <v>0</v>
      </c>
      <c r="AY16" s="7">
        <v>69417.320000000007</v>
      </c>
      <c r="AZ16" s="7">
        <v>36550.68</v>
      </c>
      <c r="BA16" s="7">
        <v>75782.17</v>
      </c>
      <c r="BB16" s="7">
        <v>867879.57</v>
      </c>
      <c r="BC16" s="7">
        <v>0</v>
      </c>
      <c r="BD16" s="7">
        <v>0</v>
      </c>
      <c r="BE16" s="7">
        <v>0</v>
      </c>
      <c r="BF16" s="7">
        <v>276.50950918399997</v>
      </c>
      <c r="BG16" s="7">
        <v>0</v>
      </c>
      <c r="BH16" s="7">
        <v>0</v>
      </c>
      <c r="BI16" s="7">
        <v>81716.350000000006</v>
      </c>
      <c r="BJ16" s="7">
        <v>33726.339999999997</v>
      </c>
      <c r="BK16" s="7">
        <v>867879.57</v>
      </c>
    </row>
    <row r="18" spans="1:19">
      <c r="A18">
        <v>51</v>
      </c>
      <c r="E18" s="8">
        <f>SUMIF(A16:A17,3,E16:E17)</f>
        <v>867.87956999999994</v>
      </c>
      <c r="F18" s="8">
        <f>SUMIF(A16:A17,3,F16:F17)</f>
        <v>0</v>
      </c>
      <c r="G18" s="8">
        <f>SUMIF(A16:A17,3,G16:G17)</f>
        <v>0</v>
      </c>
      <c r="H18" s="8">
        <f>SUMIF(A16:A17,3,H16:H17)</f>
        <v>0</v>
      </c>
      <c r="I18" s="8">
        <f>SUMIF(A16:A17,3,I16:I17)</f>
        <v>867.87956999999994</v>
      </c>
      <c r="J18" s="8">
        <f>SUMIF(A16:A17,3,J16:J17)</f>
        <v>75.782169999999994</v>
      </c>
      <c r="K18" s="8"/>
      <c r="L18" s="8"/>
      <c r="M18" s="8"/>
      <c r="N18" s="8"/>
      <c r="O18" s="8"/>
      <c r="P18" s="8"/>
      <c r="Q18" s="8"/>
      <c r="R18" s="8"/>
      <c r="S18" s="8"/>
    </row>
    <row r="20" spans="1:19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695052.32</v>
      </c>
      <c r="G20" s="4" t="s">
        <v>69</v>
      </c>
      <c r="H20" s="4" t="s">
        <v>70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9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549852.82999999996</v>
      </c>
      <c r="G21" s="4" t="s">
        <v>71</v>
      </c>
      <c r="H21" s="4" t="s">
        <v>72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9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73</v>
      </c>
      <c r="H22" s="4" t="s">
        <v>74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549852.82999999996</v>
      </c>
      <c r="G23" s="4" t="s">
        <v>75</v>
      </c>
      <c r="H23" s="4" t="s">
        <v>76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549852.82999999996</v>
      </c>
      <c r="G24" s="4" t="s">
        <v>77</v>
      </c>
      <c r="H24" s="4" t="s">
        <v>78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9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79</v>
      </c>
      <c r="H25" s="4" t="s">
        <v>80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549852.82999999996</v>
      </c>
      <c r="G26" s="4" t="s">
        <v>81</v>
      </c>
      <c r="H26" s="4" t="s">
        <v>82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83</v>
      </c>
      <c r="H27" s="4" t="s">
        <v>84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9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85</v>
      </c>
      <c r="H28" s="4" t="s">
        <v>86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87</v>
      </c>
      <c r="H29" s="4" t="s">
        <v>88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69417.320000000007</v>
      </c>
      <c r="G30" s="4" t="s">
        <v>89</v>
      </c>
      <c r="H30" s="4" t="s">
        <v>90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9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91</v>
      </c>
      <c r="H31" s="4" t="s">
        <v>92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36550.68</v>
      </c>
      <c r="G32" s="4" t="s">
        <v>93</v>
      </c>
      <c r="H32" s="4" t="s">
        <v>94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75782.17</v>
      </c>
      <c r="G33" s="4" t="s">
        <v>95</v>
      </c>
      <c r="H33" s="4" t="s">
        <v>96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97</v>
      </c>
      <c r="H34" s="4" t="s">
        <v>98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867879.57</v>
      </c>
      <c r="G35" s="4" t="s">
        <v>99</v>
      </c>
      <c r="H35" s="4" t="s">
        <v>100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0</v>
      </c>
      <c r="G36" s="4" t="s">
        <v>101</v>
      </c>
      <c r="H36" s="4" t="s">
        <v>102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0</v>
      </c>
      <c r="G37" s="4" t="s">
        <v>103</v>
      </c>
      <c r="H37" s="4" t="s">
        <v>104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105</v>
      </c>
      <c r="H38" s="4" t="s">
        <v>106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107</v>
      </c>
      <c r="H39" s="4" t="s">
        <v>108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276.50950918399997</v>
      </c>
      <c r="G40" s="4" t="s">
        <v>109</v>
      </c>
      <c r="H40" s="4" t="s">
        <v>110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0</v>
      </c>
      <c r="G41" s="4" t="s">
        <v>111</v>
      </c>
      <c r="H41" s="4" t="s">
        <v>112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113</v>
      </c>
      <c r="H42" s="4" t="s">
        <v>114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>
      <c r="A43" s="4">
        <v>50</v>
      </c>
      <c r="B43" s="4">
        <v>0</v>
      </c>
      <c r="C43" s="4">
        <v>0</v>
      </c>
      <c r="D43" s="4">
        <v>1</v>
      </c>
      <c r="E43" s="4">
        <v>233</v>
      </c>
      <c r="F43" s="4">
        <v>0</v>
      </c>
      <c r="G43" s="4" t="s">
        <v>115</v>
      </c>
      <c r="H43" s="4" t="s">
        <v>116</v>
      </c>
      <c r="I43" s="4"/>
      <c r="J43" s="4"/>
      <c r="K43" s="4">
        <v>233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>
      <c r="A44" s="4">
        <v>50</v>
      </c>
      <c r="B44" s="4">
        <v>0</v>
      </c>
      <c r="C44" s="4">
        <v>0</v>
      </c>
      <c r="D44" s="4">
        <v>1</v>
      </c>
      <c r="E44" s="4">
        <v>210</v>
      </c>
      <c r="F44" s="4">
        <v>81716.350000000006</v>
      </c>
      <c r="G44" s="4" t="s">
        <v>117</v>
      </c>
      <c r="H44" s="4" t="s">
        <v>118</v>
      </c>
      <c r="I44" s="4"/>
      <c r="J44" s="4"/>
      <c r="K44" s="4">
        <v>210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>
      <c r="A45" s="4">
        <v>50</v>
      </c>
      <c r="B45" s="4">
        <v>0</v>
      </c>
      <c r="C45" s="4">
        <v>0</v>
      </c>
      <c r="D45" s="4">
        <v>1</v>
      </c>
      <c r="E45" s="4">
        <v>211</v>
      </c>
      <c r="F45" s="4">
        <v>33726.339999999997</v>
      </c>
      <c r="G45" s="4" t="s">
        <v>119</v>
      </c>
      <c r="H45" s="4" t="s">
        <v>120</v>
      </c>
      <c r="I45" s="4"/>
      <c r="J45" s="4"/>
      <c r="K45" s="4">
        <v>211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6" spans="1:16">
      <c r="A46" s="4">
        <v>50</v>
      </c>
      <c r="B46" s="4">
        <v>0</v>
      </c>
      <c r="C46" s="4">
        <v>0</v>
      </c>
      <c r="D46" s="4">
        <v>1</v>
      </c>
      <c r="E46" s="4">
        <v>224</v>
      </c>
      <c r="F46" s="4">
        <v>867879.57</v>
      </c>
      <c r="G46" s="4" t="s">
        <v>121</v>
      </c>
      <c r="H46" s="4" t="s">
        <v>122</v>
      </c>
      <c r="I46" s="4"/>
      <c r="J46" s="4"/>
      <c r="K46" s="4">
        <v>224</v>
      </c>
      <c r="L46" s="4">
        <v>27</v>
      </c>
      <c r="M46" s="4">
        <v>3</v>
      </c>
      <c r="N46" s="4" t="s">
        <v>3</v>
      </c>
      <c r="O46" s="4">
        <v>2</v>
      </c>
      <c r="P46" s="4"/>
    </row>
    <row r="47" spans="1:16">
      <c r="A47" s="4">
        <v>50</v>
      </c>
      <c r="B47" s="4">
        <v>1</v>
      </c>
      <c r="C47" s="4">
        <v>0</v>
      </c>
      <c r="D47" s="4">
        <v>2</v>
      </c>
      <c r="E47" s="4">
        <v>0</v>
      </c>
      <c r="F47" s="4">
        <v>0</v>
      </c>
      <c r="G47" s="4" t="s">
        <v>15</v>
      </c>
      <c r="H47" s="4" t="s">
        <v>166</v>
      </c>
      <c r="I47" s="4"/>
      <c r="J47" s="4"/>
      <c r="K47" s="4">
        <v>212</v>
      </c>
      <c r="L47" s="4">
        <v>28</v>
      </c>
      <c r="M47" s="4">
        <v>0</v>
      </c>
      <c r="N47" s="4" t="s">
        <v>3</v>
      </c>
      <c r="O47" s="4">
        <v>2</v>
      </c>
      <c r="P47" s="4"/>
    </row>
    <row r="48" spans="1:16">
      <c r="A48" s="4">
        <v>50</v>
      </c>
      <c r="B48" s="4">
        <v>1</v>
      </c>
      <c r="C48" s="4">
        <v>0</v>
      </c>
      <c r="D48" s="4">
        <v>2</v>
      </c>
      <c r="E48" s="4">
        <v>0</v>
      </c>
      <c r="F48" s="4">
        <v>0</v>
      </c>
      <c r="G48" s="4" t="s">
        <v>23</v>
      </c>
      <c r="H48" s="4" t="s">
        <v>121</v>
      </c>
      <c r="I48" s="4"/>
      <c r="J48" s="4"/>
      <c r="K48" s="4">
        <v>212</v>
      </c>
      <c r="L48" s="4">
        <v>29</v>
      </c>
      <c r="M48" s="4">
        <v>0</v>
      </c>
      <c r="N48" s="4" t="s">
        <v>3</v>
      </c>
      <c r="O48" s="4">
        <v>2</v>
      </c>
      <c r="P48" s="4"/>
    </row>
    <row r="50" spans="1:27">
      <c r="A50">
        <v>-1</v>
      </c>
    </row>
    <row r="53" spans="1:27">
      <c r="A53" s="3">
        <v>75</v>
      </c>
      <c r="B53" s="3" t="s">
        <v>167</v>
      </c>
      <c r="C53" s="3">
        <v>2021</v>
      </c>
      <c r="D53" s="3">
        <v>0</v>
      </c>
      <c r="E53" s="3">
        <v>1</v>
      </c>
      <c r="F53" s="3"/>
      <c r="G53" s="3">
        <v>0</v>
      </c>
      <c r="H53" s="3">
        <v>2</v>
      </c>
      <c r="I53" s="3">
        <v>1</v>
      </c>
      <c r="J53" s="3">
        <v>1</v>
      </c>
      <c r="K53" s="3">
        <v>93</v>
      </c>
      <c r="L53" s="3">
        <v>64</v>
      </c>
      <c r="M53" s="3">
        <v>0</v>
      </c>
      <c r="N53" s="3">
        <v>33985563</v>
      </c>
      <c r="O53" s="3">
        <v>1</v>
      </c>
    </row>
    <row r="54" spans="1:27">
      <c r="A54" s="5">
        <v>1</v>
      </c>
      <c r="B54" s="5" t="s">
        <v>168</v>
      </c>
      <c r="C54" s="5" t="s">
        <v>169</v>
      </c>
      <c r="D54" s="5">
        <v>0</v>
      </c>
      <c r="E54" s="5">
        <v>0</v>
      </c>
      <c r="F54" s="5">
        <v>1</v>
      </c>
      <c r="G54" s="5">
        <v>1</v>
      </c>
      <c r="H54" s="5">
        <v>0</v>
      </c>
      <c r="I54" s="5">
        <v>2</v>
      </c>
      <c r="J54" s="5">
        <v>1</v>
      </c>
      <c r="K54" s="5">
        <v>1</v>
      </c>
      <c r="L54" s="5">
        <v>1</v>
      </c>
      <c r="M54" s="5">
        <v>1</v>
      </c>
      <c r="N54" s="5">
        <v>1</v>
      </c>
      <c r="O54" s="5">
        <v>1</v>
      </c>
      <c r="P54" s="5">
        <v>1</v>
      </c>
      <c r="Q54" s="5">
        <v>1</v>
      </c>
      <c r="R54" s="5" t="s">
        <v>3</v>
      </c>
      <c r="S54" s="5" t="s">
        <v>3</v>
      </c>
      <c r="T54" s="5" t="s">
        <v>3</v>
      </c>
      <c r="U54" s="5" t="s">
        <v>3</v>
      </c>
      <c r="V54" s="5" t="s">
        <v>3</v>
      </c>
      <c r="W54" s="5" t="s">
        <v>3</v>
      </c>
      <c r="X54" s="5" t="s">
        <v>3</v>
      </c>
      <c r="Y54" s="5" t="s">
        <v>3</v>
      </c>
      <c r="Z54" s="5" t="s">
        <v>3</v>
      </c>
      <c r="AA54" s="5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C78"/>
  <sheetViews>
    <sheetView workbookViewId="0"/>
  </sheetViews>
  <sheetFormatPr defaultColWidth="9.109375" defaultRowHeight="13.2"/>
  <cols>
    <col min="1" max="256" width="9.109375" customWidth="1"/>
  </cols>
  <sheetData>
    <row r="1" spans="1:107">
      <c r="A1">
        <f>ROW(Source!A28)</f>
        <v>28</v>
      </c>
      <c r="B1">
        <v>33985563</v>
      </c>
      <c r="C1">
        <v>33985859</v>
      </c>
      <c r="D1">
        <v>29983441</v>
      </c>
      <c r="E1">
        <v>29983435</v>
      </c>
      <c r="F1">
        <v>1</v>
      </c>
      <c r="G1">
        <v>29983435</v>
      </c>
      <c r="H1">
        <v>1</v>
      </c>
      <c r="I1" t="s">
        <v>171</v>
      </c>
      <c r="J1" t="s">
        <v>3</v>
      </c>
      <c r="K1" t="s">
        <v>172</v>
      </c>
      <c r="L1">
        <v>1191</v>
      </c>
      <c r="N1">
        <v>1013</v>
      </c>
      <c r="O1" t="s">
        <v>173</v>
      </c>
      <c r="P1" t="s">
        <v>173</v>
      </c>
      <c r="Q1">
        <v>1</v>
      </c>
      <c r="W1">
        <v>0</v>
      </c>
      <c r="X1">
        <v>476480486</v>
      </c>
      <c r="Y1">
        <v>1.38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1.38</v>
      </c>
      <c r="AU1" t="s">
        <v>3</v>
      </c>
      <c r="AV1">
        <v>1</v>
      </c>
      <c r="AW1">
        <v>2</v>
      </c>
      <c r="AX1">
        <v>33985863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2.93370336</v>
      </c>
      <c r="CY1">
        <f>AD1</f>
        <v>0</v>
      </c>
      <c r="CZ1">
        <f>AH1</f>
        <v>0</v>
      </c>
      <c r="DA1">
        <f>AL1</f>
        <v>1</v>
      </c>
      <c r="DB1">
        <f t="shared" ref="DB1:DB32" si="0">ROUND(ROUND(AT1*CZ1,2),6)</f>
        <v>0</v>
      </c>
      <c r="DC1">
        <f t="shared" ref="DC1:DC32" si="1">ROUND(ROUND(AT1*AG1,2),6)</f>
        <v>0</v>
      </c>
    </row>
    <row r="2" spans="1:107">
      <c r="A2">
        <f>ROW(Source!A28)</f>
        <v>28</v>
      </c>
      <c r="B2">
        <v>33985563</v>
      </c>
      <c r="C2">
        <v>33985859</v>
      </c>
      <c r="D2">
        <v>30063245</v>
      </c>
      <c r="E2">
        <v>1</v>
      </c>
      <c r="F2">
        <v>1</v>
      </c>
      <c r="G2">
        <v>29983435</v>
      </c>
      <c r="H2">
        <v>2</v>
      </c>
      <c r="I2" t="s">
        <v>174</v>
      </c>
      <c r="J2" t="s">
        <v>175</v>
      </c>
      <c r="K2" t="s">
        <v>176</v>
      </c>
      <c r="L2">
        <v>1367</v>
      </c>
      <c r="N2">
        <v>1011</v>
      </c>
      <c r="O2" t="s">
        <v>177</v>
      </c>
      <c r="P2" t="s">
        <v>177</v>
      </c>
      <c r="Q2">
        <v>1</v>
      </c>
      <c r="W2">
        <v>0</v>
      </c>
      <c r="X2">
        <v>781556702</v>
      </c>
      <c r="Y2">
        <v>3.9874999999999998</v>
      </c>
      <c r="AA2">
        <v>0</v>
      </c>
      <c r="AB2">
        <v>193.58</v>
      </c>
      <c r="AC2">
        <v>34.090000000000003</v>
      </c>
      <c r="AD2">
        <v>0</v>
      </c>
      <c r="AE2">
        <v>0</v>
      </c>
      <c r="AF2">
        <v>162.4</v>
      </c>
      <c r="AG2">
        <v>28.6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3.9874999999999998</v>
      </c>
      <c r="AU2" t="s">
        <v>3</v>
      </c>
      <c r="AV2">
        <v>0</v>
      </c>
      <c r="AW2">
        <v>2</v>
      </c>
      <c r="AX2">
        <v>33985864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Y2*Source!I28</f>
        <v>8.4769146000000006</v>
      </c>
      <c r="CY2">
        <f>AB2</f>
        <v>193.58</v>
      </c>
      <c r="CZ2">
        <f>AF2</f>
        <v>162.4</v>
      </c>
      <c r="DA2">
        <f>AJ2</f>
        <v>1</v>
      </c>
      <c r="DB2">
        <f t="shared" si="0"/>
        <v>647.57000000000005</v>
      </c>
      <c r="DC2">
        <f t="shared" si="1"/>
        <v>114.04</v>
      </c>
    </row>
    <row r="3" spans="1:107">
      <c r="A3">
        <f>ROW(Source!A28)</f>
        <v>28</v>
      </c>
      <c r="B3">
        <v>33985563</v>
      </c>
      <c r="C3">
        <v>33985859</v>
      </c>
      <c r="D3">
        <v>30063270</v>
      </c>
      <c r="E3">
        <v>1</v>
      </c>
      <c r="F3">
        <v>1</v>
      </c>
      <c r="G3">
        <v>29983435</v>
      </c>
      <c r="H3">
        <v>2</v>
      </c>
      <c r="I3" t="s">
        <v>178</v>
      </c>
      <c r="J3" t="s">
        <v>179</v>
      </c>
      <c r="K3" t="s">
        <v>180</v>
      </c>
      <c r="L3">
        <v>1367</v>
      </c>
      <c r="N3">
        <v>1011</v>
      </c>
      <c r="O3" t="s">
        <v>177</v>
      </c>
      <c r="P3" t="s">
        <v>177</v>
      </c>
      <c r="Q3">
        <v>1</v>
      </c>
      <c r="W3">
        <v>0</v>
      </c>
      <c r="X3">
        <v>695902881</v>
      </c>
      <c r="Y3">
        <v>0.997</v>
      </c>
      <c r="AA3">
        <v>0</v>
      </c>
      <c r="AB3">
        <v>131.49</v>
      </c>
      <c r="AC3">
        <v>31.61</v>
      </c>
      <c r="AD3">
        <v>0</v>
      </c>
      <c r="AE3">
        <v>0</v>
      </c>
      <c r="AF3">
        <v>110.31</v>
      </c>
      <c r="AG3">
        <v>26.52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0.997</v>
      </c>
      <c r="AU3" t="s">
        <v>3</v>
      </c>
      <c r="AV3">
        <v>0</v>
      </c>
      <c r="AW3">
        <v>2</v>
      </c>
      <c r="AX3">
        <v>33985865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Y3*Source!I28</f>
        <v>2.1194943840000002</v>
      </c>
      <c r="CY3">
        <f>AB3</f>
        <v>131.49</v>
      </c>
      <c r="CZ3">
        <f>AF3</f>
        <v>110.31</v>
      </c>
      <c r="DA3">
        <f>AJ3</f>
        <v>1</v>
      </c>
      <c r="DB3">
        <f t="shared" si="0"/>
        <v>109.98</v>
      </c>
      <c r="DC3">
        <f t="shared" si="1"/>
        <v>26.44</v>
      </c>
    </row>
    <row r="4" spans="1:107">
      <c r="A4">
        <f>ROW(Source!A29)</f>
        <v>29</v>
      </c>
      <c r="B4">
        <v>33985563</v>
      </c>
      <c r="C4">
        <v>33985866</v>
      </c>
      <c r="D4">
        <v>29983441</v>
      </c>
      <c r="E4">
        <v>29983435</v>
      </c>
      <c r="F4">
        <v>1</v>
      </c>
      <c r="G4">
        <v>29983435</v>
      </c>
      <c r="H4">
        <v>1</v>
      </c>
      <c r="I4" t="s">
        <v>171</v>
      </c>
      <c r="J4" t="s">
        <v>3</v>
      </c>
      <c r="K4" t="s">
        <v>172</v>
      </c>
      <c r="L4">
        <v>1191</v>
      </c>
      <c r="N4">
        <v>1013</v>
      </c>
      <c r="O4" t="s">
        <v>173</v>
      </c>
      <c r="P4" t="s">
        <v>173</v>
      </c>
      <c r="Q4">
        <v>1</v>
      </c>
      <c r="W4">
        <v>0</v>
      </c>
      <c r="X4">
        <v>476480486</v>
      </c>
      <c r="Y4">
        <v>192.7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192.7</v>
      </c>
      <c r="AU4" t="s">
        <v>3</v>
      </c>
      <c r="AV4">
        <v>1</v>
      </c>
      <c r="AW4">
        <v>2</v>
      </c>
      <c r="AX4">
        <v>33985868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Y4*Source!I29</f>
        <v>45.517281599999997</v>
      </c>
      <c r="CY4">
        <f>AD4</f>
        <v>0</v>
      </c>
      <c r="CZ4">
        <f>AH4</f>
        <v>0</v>
      </c>
      <c r="DA4">
        <f>AL4</f>
        <v>1</v>
      </c>
      <c r="DB4">
        <f t="shared" si="0"/>
        <v>0</v>
      </c>
      <c r="DC4">
        <f t="shared" si="1"/>
        <v>0</v>
      </c>
    </row>
    <row r="5" spans="1:107">
      <c r="A5">
        <f>ROW(Source!A30)</f>
        <v>30</v>
      </c>
      <c r="B5">
        <v>33985563</v>
      </c>
      <c r="C5">
        <v>33985869</v>
      </c>
      <c r="D5">
        <v>29983441</v>
      </c>
      <c r="E5">
        <v>29983435</v>
      </c>
      <c r="F5">
        <v>1</v>
      </c>
      <c r="G5">
        <v>29983435</v>
      </c>
      <c r="H5">
        <v>1</v>
      </c>
      <c r="I5" t="s">
        <v>171</v>
      </c>
      <c r="J5" t="s">
        <v>3</v>
      </c>
      <c r="K5" t="s">
        <v>172</v>
      </c>
      <c r="L5">
        <v>1191</v>
      </c>
      <c r="N5">
        <v>1013</v>
      </c>
      <c r="O5" t="s">
        <v>173</v>
      </c>
      <c r="P5" t="s">
        <v>173</v>
      </c>
      <c r="Q5">
        <v>1</v>
      </c>
      <c r="W5">
        <v>0</v>
      </c>
      <c r="X5">
        <v>476480486</v>
      </c>
      <c r="Y5">
        <v>1.38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1.38</v>
      </c>
      <c r="AU5" t="s">
        <v>3</v>
      </c>
      <c r="AV5">
        <v>1</v>
      </c>
      <c r="AW5">
        <v>2</v>
      </c>
      <c r="AX5">
        <v>33985873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Y5*Source!I30</f>
        <v>2.6403330239999998</v>
      </c>
      <c r="CY5">
        <f>AD5</f>
        <v>0</v>
      </c>
      <c r="CZ5">
        <f>AH5</f>
        <v>0</v>
      </c>
      <c r="DA5">
        <f>AL5</f>
        <v>1</v>
      </c>
      <c r="DB5">
        <f t="shared" si="0"/>
        <v>0</v>
      </c>
      <c r="DC5">
        <f t="shared" si="1"/>
        <v>0</v>
      </c>
    </row>
    <row r="6" spans="1:107">
      <c r="A6">
        <f>ROW(Source!A30)</f>
        <v>30</v>
      </c>
      <c r="B6">
        <v>33985563</v>
      </c>
      <c r="C6">
        <v>33985869</v>
      </c>
      <c r="D6">
        <v>30063245</v>
      </c>
      <c r="E6">
        <v>1</v>
      </c>
      <c r="F6">
        <v>1</v>
      </c>
      <c r="G6">
        <v>29983435</v>
      </c>
      <c r="H6">
        <v>2</v>
      </c>
      <c r="I6" t="s">
        <v>174</v>
      </c>
      <c r="J6" t="s">
        <v>175</v>
      </c>
      <c r="K6" t="s">
        <v>176</v>
      </c>
      <c r="L6">
        <v>1367</v>
      </c>
      <c r="N6">
        <v>1011</v>
      </c>
      <c r="O6" t="s">
        <v>177</v>
      </c>
      <c r="P6" t="s">
        <v>177</v>
      </c>
      <c r="Q6">
        <v>1</v>
      </c>
      <c r="W6">
        <v>0</v>
      </c>
      <c r="X6">
        <v>781556702</v>
      </c>
      <c r="Y6">
        <v>3.9874999999999998</v>
      </c>
      <c r="AA6">
        <v>0</v>
      </c>
      <c r="AB6">
        <v>193.58</v>
      </c>
      <c r="AC6">
        <v>34.090000000000003</v>
      </c>
      <c r="AD6">
        <v>0</v>
      </c>
      <c r="AE6">
        <v>0</v>
      </c>
      <c r="AF6">
        <v>162.4</v>
      </c>
      <c r="AG6">
        <v>28.6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3.9874999999999998</v>
      </c>
      <c r="AU6" t="s">
        <v>3</v>
      </c>
      <c r="AV6">
        <v>0</v>
      </c>
      <c r="AW6">
        <v>2</v>
      </c>
      <c r="AX6">
        <v>33985874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Y6*Source!I30</f>
        <v>7.6292231399999997</v>
      </c>
      <c r="CY6">
        <f>AB6</f>
        <v>193.58</v>
      </c>
      <c r="CZ6">
        <f>AF6</f>
        <v>162.4</v>
      </c>
      <c r="DA6">
        <f>AJ6</f>
        <v>1</v>
      </c>
      <c r="DB6">
        <f t="shared" si="0"/>
        <v>647.57000000000005</v>
      </c>
      <c r="DC6">
        <f t="shared" si="1"/>
        <v>114.04</v>
      </c>
    </row>
    <row r="7" spans="1:107">
      <c r="A7">
        <f>ROW(Source!A30)</f>
        <v>30</v>
      </c>
      <c r="B7">
        <v>33985563</v>
      </c>
      <c r="C7">
        <v>33985869</v>
      </c>
      <c r="D7">
        <v>30063270</v>
      </c>
      <c r="E7">
        <v>1</v>
      </c>
      <c r="F7">
        <v>1</v>
      </c>
      <c r="G7">
        <v>29983435</v>
      </c>
      <c r="H7">
        <v>2</v>
      </c>
      <c r="I7" t="s">
        <v>178</v>
      </c>
      <c r="J7" t="s">
        <v>179</v>
      </c>
      <c r="K7" t="s">
        <v>180</v>
      </c>
      <c r="L7">
        <v>1367</v>
      </c>
      <c r="N7">
        <v>1011</v>
      </c>
      <c r="O7" t="s">
        <v>177</v>
      </c>
      <c r="P7" t="s">
        <v>177</v>
      </c>
      <c r="Q7">
        <v>1</v>
      </c>
      <c r="W7">
        <v>0</v>
      </c>
      <c r="X7">
        <v>695902881</v>
      </c>
      <c r="Y7">
        <v>0.997</v>
      </c>
      <c r="AA7">
        <v>0</v>
      </c>
      <c r="AB7">
        <v>131.49</v>
      </c>
      <c r="AC7">
        <v>31.61</v>
      </c>
      <c r="AD7">
        <v>0</v>
      </c>
      <c r="AE7">
        <v>0</v>
      </c>
      <c r="AF7">
        <v>110.31</v>
      </c>
      <c r="AG7">
        <v>26.52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0.997</v>
      </c>
      <c r="AU7" t="s">
        <v>3</v>
      </c>
      <c r="AV7">
        <v>0</v>
      </c>
      <c r="AW7">
        <v>2</v>
      </c>
      <c r="AX7">
        <v>33985875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Y7*Source!I30</f>
        <v>1.9075449456</v>
      </c>
      <c r="CY7">
        <f>AB7</f>
        <v>131.49</v>
      </c>
      <c r="CZ7">
        <f>AF7</f>
        <v>110.31</v>
      </c>
      <c r="DA7">
        <f>AJ7</f>
        <v>1</v>
      </c>
      <c r="DB7">
        <f t="shared" si="0"/>
        <v>109.98</v>
      </c>
      <c r="DC7">
        <f t="shared" si="1"/>
        <v>26.44</v>
      </c>
    </row>
    <row r="8" spans="1:107">
      <c r="A8">
        <f>ROW(Source!A31)</f>
        <v>31</v>
      </c>
      <c r="B8">
        <v>33985563</v>
      </c>
      <c r="C8">
        <v>33985876</v>
      </c>
      <c r="D8">
        <v>29983441</v>
      </c>
      <c r="E8">
        <v>29983435</v>
      </c>
      <c r="F8">
        <v>1</v>
      </c>
      <c r="G8">
        <v>29983435</v>
      </c>
      <c r="H8">
        <v>1</v>
      </c>
      <c r="I8" t="s">
        <v>171</v>
      </c>
      <c r="J8" t="s">
        <v>3</v>
      </c>
      <c r="K8" t="s">
        <v>172</v>
      </c>
      <c r="L8">
        <v>1191</v>
      </c>
      <c r="N8">
        <v>1013</v>
      </c>
      <c r="O8" t="s">
        <v>173</v>
      </c>
      <c r="P8" t="s">
        <v>173</v>
      </c>
      <c r="Q8">
        <v>1</v>
      </c>
      <c r="W8">
        <v>0</v>
      </c>
      <c r="X8">
        <v>476480486</v>
      </c>
      <c r="Y8">
        <v>83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83</v>
      </c>
      <c r="AU8" t="s">
        <v>3</v>
      </c>
      <c r="AV8">
        <v>1</v>
      </c>
      <c r="AW8">
        <v>2</v>
      </c>
      <c r="AX8">
        <v>33985878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Y8*Source!I31</f>
        <v>1.9605264</v>
      </c>
      <c r="CY8">
        <f>AD8</f>
        <v>0</v>
      </c>
      <c r="CZ8">
        <f>AH8</f>
        <v>0</v>
      </c>
      <c r="DA8">
        <f>AL8</f>
        <v>1</v>
      </c>
      <c r="DB8">
        <f t="shared" si="0"/>
        <v>0</v>
      </c>
      <c r="DC8">
        <f t="shared" si="1"/>
        <v>0</v>
      </c>
    </row>
    <row r="9" spans="1:107">
      <c r="A9">
        <f>ROW(Source!A32)</f>
        <v>32</v>
      </c>
      <c r="B9">
        <v>33985563</v>
      </c>
      <c r="C9">
        <v>33985879</v>
      </c>
      <c r="D9">
        <v>29983441</v>
      </c>
      <c r="E9">
        <v>29983435</v>
      </c>
      <c r="F9">
        <v>1</v>
      </c>
      <c r="G9">
        <v>29983435</v>
      </c>
      <c r="H9">
        <v>1</v>
      </c>
      <c r="I9" t="s">
        <v>171</v>
      </c>
      <c r="J9" t="s">
        <v>3</v>
      </c>
      <c r="K9" t="s">
        <v>172</v>
      </c>
      <c r="L9">
        <v>1191</v>
      </c>
      <c r="N9">
        <v>1013</v>
      </c>
      <c r="O9" t="s">
        <v>173</v>
      </c>
      <c r="P9" t="s">
        <v>173</v>
      </c>
      <c r="Q9">
        <v>1</v>
      </c>
      <c r="W9">
        <v>0</v>
      </c>
      <c r="X9">
        <v>476480486</v>
      </c>
      <c r="Y9">
        <v>14.4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14.4</v>
      </c>
      <c r="AU9" t="s">
        <v>3</v>
      </c>
      <c r="AV9">
        <v>1</v>
      </c>
      <c r="AW9">
        <v>2</v>
      </c>
      <c r="AX9">
        <v>33985888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Y9*Source!I32</f>
        <v>16.197120000000002</v>
      </c>
      <c r="CY9">
        <f>AD9</f>
        <v>0</v>
      </c>
      <c r="CZ9">
        <f>AH9</f>
        <v>0</v>
      </c>
      <c r="DA9">
        <f>AL9</f>
        <v>1</v>
      </c>
      <c r="DB9">
        <f t="shared" si="0"/>
        <v>0</v>
      </c>
      <c r="DC9">
        <f t="shared" si="1"/>
        <v>0</v>
      </c>
    </row>
    <row r="10" spans="1:107">
      <c r="A10">
        <f>ROW(Source!A32)</f>
        <v>32</v>
      </c>
      <c r="B10">
        <v>33985563</v>
      </c>
      <c r="C10">
        <v>33985879</v>
      </c>
      <c r="D10">
        <v>30063290</v>
      </c>
      <c r="E10">
        <v>1</v>
      </c>
      <c r="F10">
        <v>1</v>
      </c>
      <c r="G10">
        <v>29983435</v>
      </c>
      <c r="H10">
        <v>2</v>
      </c>
      <c r="I10" t="s">
        <v>181</v>
      </c>
      <c r="J10" t="s">
        <v>182</v>
      </c>
      <c r="K10" t="s">
        <v>183</v>
      </c>
      <c r="L10">
        <v>1367</v>
      </c>
      <c r="N10">
        <v>1011</v>
      </c>
      <c r="O10" t="s">
        <v>177</v>
      </c>
      <c r="P10" t="s">
        <v>177</v>
      </c>
      <c r="Q10">
        <v>1</v>
      </c>
      <c r="W10">
        <v>0</v>
      </c>
      <c r="X10">
        <v>1928543733</v>
      </c>
      <c r="Y10">
        <v>1.66</v>
      </c>
      <c r="AA10">
        <v>0</v>
      </c>
      <c r="AB10">
        <v>122.38</v>
      </c>
      <c r="AC10">
        <v>24.51</v>
      </c>
      <c r="AD10">
        <v>0</v>
      </c>
      <c r="AE10">
        <v>0</v>
      </c>
      <c r="AF10">
        <v>116.89</v>
      </c>
      <c r="AG10">
        <v>23.41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1.66</v>
      </c>
      <c r="AU10" t="s">
        <v>3</v>
      </c>
      <c r="AV10">
        <v>0</v>
      </c>
      <c r="AW10">
        <v>2</v>
      </c>
      <c r="AX10">
        <v>33985889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Y10*Source!I32</f>
        <v>1.8671679999999999</v>
      </c>
      <c r="CY10">
        <f>AB10</f>
        <v>122.38</v>
      </c>
      <c r="CZ10">
        <f>AF10</f>
        <v>116.89</v>
      </c>
      <c r="DA10">
        <f>AJ10</f>
        <v>1</v>
      </c>
      <c r="DB10">
        <f t="shared" si="0"/>
        <v>194.04</v>
      </c>
      <c r="DC10">
        <f t="shared" si="1"/>
        <v>38.86</v>
      </c>
    </row>
    <row r="11" spans="1:107">
      <c r="A11">
        <f>ROW(Source!A32)</f>
        <v>32</v>
      </c>
      <c r="B11">
        <v>33985563</v>
      </c>
      <c r="C11">
        <v>33985879</v>
      </c>
      <c r="D11">
        <v>30063515</v>
      </c>
      <c r="E11">
        <v>1</v>
      </c>
      <c r="F11">
        <v>1</v>
      </c>
      <c r="G11">
        <v>29983435</v>
      </c>
      <c r="H11">
        <v>2</v>
      </c>
      <c r="I11" t="s">
        <v>184</v>
      </c>
      <c r="J11" t="s">
        <v>185</v>
      </c>
      <c r="K11" t="s">
        <v>186</v>
      </c>
      <c r="L11">
        <v>1367</v>
      </c>
      <c r="N11">
        <v>1011</v>
      </c>
      <c r="O11" t="s">
        <v>177</v>
      </c>
      <c r="P11" t="s">
        <v>177</v>
      </c>
      <c r="Q11">
        <v>1</v>
      </c>
      <c r="W11">
        <v>0</v>
      </c>
      <c r="X11">
        <v>142191915</v>
      </c>
      <c r="Y11">
        <v>1.66</v>
      </c>
      <c r="AA11">
        <v>0</v>
      </c>
      <c r="AB11">
        <v>65.930000000000007</v>
      </c>
      <c r="AC11">
        <v>6.95</v>
      </c>
      <c r="AD11">
        <v>0</v>
      </c>
      <c r="AE11">
        <v>0</v>
      </c>
      <c r="AF11">
        <v>62.97</v>
      </c>
      <c r="AG11">
        <v>6.64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1.66</v>
      </c>
      <c r="AU11" t="s">
        <v>3</v>
      </c>
      <c r="AV11">
        <v>0</v>
      </c>
      <c r="AW11">
        <v>2</v>
      </c>
      <c r="AX11">
        <v>33985890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Y11*Source!I32</f>
        <v>1.8671679999999999</v>
      </c>
      <c r="CY11">
        <f>AB11</f>
        <v>65.930000000000007</v>
      </c>
      <c r="CZ11">
        <f>AF11</f>
        <v>62.97</v>
      </c>
      <c r="DA11">
        <f>AJ11</f>
        <v>1</v>
      </c>
      <c r="DB11">
        <f t="shared" si="0"/>
        <v>104.53</v>
      </c>
      <c r="DC11">
        <f t="shared" si="1"/>
        <v>11.02</v>
      </c>
    </row>
    <row r="12" spans="1:107">
      <c r="A12">
        <f>ROW(Source!A32)</f>
        <v>32</v>
      </c>
      <c r="B12">
        <v>33985563</v>
      </c>
      <c r="C12">
        <v>33985879</v>
      </c>
      <c r="D12">
        <v>30063518</v>
      </c>
      <c r="E12">
        <v>1</v>
      </c>
      <c r="F12">
        <v>1</v>
      </c>
      <c r="G12">
        <v>29983435</v>
      </c>
      <c r="H12">
        <v>2</v>
      </c>
      <c r="I12" t="s">
        <v>187</v>
      </c>
      <c r="J12" t="s">
        <v>188</v>
      </c>
      <c r="K12" t="s">
        <v>189</v>
      </c>
      <c r="L12">
        <v>1367</v>
      </c>
      <c r="N12">
        <v>1011</v>
      </c>
      <c r="O12" t="s">
        <v>177</v>
      </c>
      <c r="P12" t="s">
        <v>177</v>
      </c>
      <c r="Q12">
        <v>1</v>
      </c>
      <c r="W12">
        <v>0</v>
      </c>
      <c r="X12">
        <v>378346098</v>
      </c>
      <c r="Y12">
        <v>0.65</v>
      </c>
      <c r="AA12">
        <v>0</v>
      </c>
      <c r="AB12">
        <v>147.19</v>
      </c>
      <c r="AC12">
        <v>29.95</v>
      </c>
      <c r="AD12">
        <v>0</v>
      </c>
      <c r="AE12">
        <v>0</v>
      </c>
      <c r="AF12">
        <v>140.58000000000001</v>
      </c>
      <c r="AG12">
        <v>28.61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0.65</v>
      </c>
      <c r="AU12" t="s">
        <v>3</v>
      </c>
      <c r="AV12">
        <v>0</v>
      </c>
      <c r="AW12">
        <v>2</v>
      </c>
      <c r="AX12">
        <v>33985891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Y12*Source!I32</f>
        <v>0.73111999999999999</v>
      </c>
      <c r="CY12">
        <f>AB12</f>
        <v>147.19</v>
      </c>
      <c r="CZ12">
        <f>AF12</f>
        <v>140.58000000000001</v>
      </c>
      <c r="DA12">
        <f>AJ12</f>
        <v>1</v>
      </c>
      <c r="DB12">
        <f t="shared" si="0"/>
        <v>91.38</v>
      </c>
      <c r="DC12">
        <f t="shared" si="1"/>
        <v>18.600000000000001</v>
      </c>
    </row>
    <row r="13" spans="1:107">
      <c r="A13">
        <f>ROW(Source!A32)</f>
        <v>32</v>
      </c>
      <c r="B13">
        <v>33985563</v>
      </c>
      <c r="C13">
        <v>33985879</v>
      </c>
      <c r="D13">
        <v>30063546</v>
      </c>
      <c r="E13">
        <v>1</v>
      </c>
      <c r="F13">
        <v>1</v>
      </c>
      <c r="G13">
        <v>29983435</v>
      </c>
      <c r="H13">
        <v>2</v>
      </c>
      <c r="I13" t="s">
        <v>190</v>
      </c>
      <c r="J13" t="s">
        <v>191</v>
      </c>
      <c r="K13" t="s">
        <v>192</v>
      </c>
      <c r="L13">
        <v>1367</v>
      </c>
      <c r="N13">
        <v>1011</v>
      </c>
      <c r="O13" t="s">
        <v>177</v>
      </c>
      <c r="P13" t="s">
        <v>177</v>
      </c>
      <c r="Q13">
        <v>1</v>
      </c>
      <c r="W13">
        <v>0</v>
      </c>
      <c r="X13">
        <v>856318566</v>
      </c>
      <c r="Y13">
        <v>1.55</v>
      </c>
      <c r="AA13">
        <v>0</v>
      </c>
      <c r="AB13">
        <v>131.01</v>
      </c>
      <c r="AC13">
        <v>25.9</v>
      </c>
      <c r="AD13">
        <v>0</v>
      </c>
      <c r="AE13">
        <v>0</v>
      </c>
      <c r="AF13">
        <v>125.13</v>
      </c>
      <c r="AG13">
        <v>24.74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1.55</v>
      </c>
      <c r="AU13" t="s">
        <v>3</v>
      </c>
      <c r="AV13">
        <v>0</v>
      </c>
      <c r="AW13">
        <v>2</v>
      </c>
      <c r="AX13">
        <v>33985892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Y13*Source!I32</f>
        <v>1.7434400000000001</v>
      </c>
      <c r="CY13">
        <f>AB13</f>
        <v>131.01</v>
      </c>
      <c r="CZ13">
        <f>AF13</f>
        <v>125.13</v>
      </c>
      <c r="DA13">
        <f>AJ13</f>
        <v>1</v>
      </c>
      <c r="DB13">
        <f t="shared" si="0"/>
        <v>193.95</v>
      </c>
      <c r="DC13">
        <f t="shared" si="1"/>
        <v>38.35</v>
      </c>
    </row>
    <row r="14" spans="1:107">
      <c r="A14">
        <f>ROW(Source!A32)</f>
        <v>32</v>
      </c>
      <c r="B14">
        <v>33985563</v>
      </c>
      <c r="C14">
        <v>33985879</v>
      </c>
      <c r="D14">
        <v>30063508</v>
      </c>
      <c r="E14">
        <v>1</v>
      </c>
      <c r="F14">
        <v>1</v>
      </c>
      <c r="G14">
        <v>29983435</v>
      </c>
      <c r="H14">
        <v>2</v>
      </c>
      <c r="I14" t="s">
        <v>193</v>
      </c>
      <c r="J14" t="s">
        <v>194</v>
      </c>
      <c r="K14" t="s">
        <v>195</v>
      </c>
      <c r="L14">
        <v>1367</v>
      </c>
      <c r="N14">
        <v>1011</v>
      </c>
      <c r="O14" t="s">
        <v>177</v>
      </c>
      <c r="P14" t="s">
        <v>177</v>
      </c>
      <c r="Q14">
        <v>1</v>
      </c>
      <c r="W14">
        <v>0</v>
      </c>
      <c r="X14">
        <v>2023875219</v>
      </c>
      <c r="Y14">
        <v>0.52</v>
      </c>
      <c r="AA14">
        <v>0</v>
      </c>
      <c r="AB14">
        <v>186.39</v>
      </c>
      <c r="AC14">
        <v>24.6</v>
      </c>
      <c r="AD14">
        <v>0</v>
      </c>
      <c r="AE14">
        <v>0</v>
      </c>
      <c r="AF14">
        <v>178.02</v>
      </c>
      <c r="AG14">
        <v>23.5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0.52</v>
      </c>
      <c r="AU14" t="s">
        <v>3</v>
      </c>
      <c r="AV14">
        <v>0</v>
      </c>
      <c r="AW14">
        <v>2</v>
      </c>
      <c r="AX14">
        <v>33985893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Y14*Source!I32</f>
        <v>0.58489600000000008</v>
      </c>
      <c r="CY14">
        <f>AB14</f>
        <v>186.39</v>
      </c>
      <c r="CZ14">
        <f>AF14</f>
        <v>178.02</v>
      </c>
      <c r="DA14">
        <f>AJ14</f>
        <v>1</v>
      </c>
      <c r="DB14">
        <f t="shared" si="0"/>
        <v>92.57</v>
      </c>
      <c r="DC14">
        <f t="shared" si="1"/>
        <v>12.22</v>
      </c>
    </row>
    <row r="15" spans="1:107">
      <c r="A15">
        <f>ROW(Source!A32)</f>
        <v>32</v>
      </c>
      <c r="B15">
        <v>33985563</v>
      </c>
      <c r="C15">
        <v>33985879</v>
      </c>
      <c r="D15">
        <v>30042537</v>
      </c>
      <c r="E15">
        <v>1</v>
      </c>
      <c r="F15">
        <v>1</v>
      </c>
      <c r="G15">
        <v>29983435</v>
      </c>
      <c r="H15">
        <v>3</v>
      </c>
      <c r="I15" t="s">
        <v>196</v>
      </c>
      <c r="J15" t="s">
        <v>197</v>
      </c>
      <c r="K15" t="s">
        <v>198</v>
      </c>
      <c r="L15">
        <v>1339</v>
      </c>
      <c r="N15">
        <v>1007</v>
      </c>
      <c r="O15" t="s">
        <v>47</v>
      </c>
      <c r="P15" t="s">
        <v>47</v>
      </c>
      <c r="Q15">
        <v>1</v>
      </c>
      <c r="W15">
        <v>0</v>
      </c>
      <c r="X15">
        <v>-862991314</v>
      </c>
      <c r="Y15">
        <v>5</v>
      </c>
      <c r="AA15">
        <v>7.08</v>
      </c>
      <c r="AB15">
        <v>0</v>
      </c>
      <c r="AC15">
        <v>0</v>
      </c>
      <c r="AD15">
        <v>0</v>
      </c>
      <c r="AE15">
        <v>7.07</v>
      </c>
      <c r="AF15">
        <v>0</v>
      </c>
      <c r="AG15">
        <v>0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5</v>
      </c>
      <c r="AU15" t="s">
        <v>3</v>
      </c>
      <c r="AV15">
        <v>0</v>
      </c>
      <c r="AW15">
        <v>2</v>
      </c>
      <c r="AX15">
        <v>33985894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Y15*Source!I32</f>
        <v>5.6240000000000006</v>
      </c>
      <c r="CY15">
        <f>AA15</f>
        <v>7.08</v>
      </c>
      <c r="CZ15">
        <f>AE15</f>
        <v>7.07</v>
      </c>
      <c r="DA15">
        <f>AI15</f>
        <v>1</v>
      </c>
      <c r="DB15">
        <f t="shared" si="0"/>
        <v>35.35</v>
      </c>
      <c r="DC15">
        <f t="shared" si="1"/>
        <v>0</v>
      </c>
    </row>
    <row r="16" spans="1:107">
      <c r="A16">
        <f>ROW(Source!A32)</f>
        <v>32</v>
      </c>
      <c r="B16">
        <v>33985563</v>
      </c>
      <c r="C16">
        <v>33985879</v>
      </c>
      <c r="D16">
        <v>30041978</v>
      </c>
      <c r="E16">
        <v>1</v>
      </c>
      <c r="F16">
        <v>1</v>
      </c>
      <c r="G16">
        <v>29983435</v>
      </c>
      <c r="H16">
        <v>3</v>
      </c>
      <c r="I16" t="s">
        <v>45</v>
      </c>
      <c r="J16" t="s">
        <v>48</v>
      </c>
      <c r="K16" t="s">
        <v>46</v>
      </c>
      <c r="L16">
        <v>1339</v>
      </c>
      <c r="N16">
        <v>1007</v>
      </c>
      <c r="O16" t="s">
        <v>47</v>
      </c>
      <c r="P16" t="s">
        <v>47</v>
      </c>
      <c r="Q16">
        <v>1</v>
      </c>
      <c r="W16">
        <v>0</v>
      </c>
      <c r="X16">
        <v>2069056849</v>
      </c>
      <c r="Y16">
        <v>110</v>
      </c>
      <c r="AA16">
        <v>553.35</v>
      </c>
      <c r="AB16">
        <v>0</v>
      </c>
      <c r="AC16">
        <v>0</v>
      </c>
      <c r="AD16">
        <v>0</v>
      </c>
      <c r="AE16">
        <v>104.99</v>
      </c>
      <c r="AF16">
        <v>0</v>
      </c>
      <c r="AG16">
        <v>0</v>
      </c>
      <c r="AH16">
        <v>0</v>
      </c>
      <c r="AI16">
        <v>5.26</v>
      </c>
      <c r="AJ16">
        <v>1</v>
      </c>
      <c r="AK16">
        <v>1</v>
      </c>
      <c r="AL16">
        <v>1</v>
      </c>
      <c r="AN16">
        <v>0</v>
      </c>
      <c r="AO16">
        <v>0</v>
      </c>
      <c r="AP16">
        <v>0</v>
      </c>
      <c r="AQ16">
        <v>0</v>
      </c>
      <c r="AR16">
        <v>0</v>
      </c>
      <c r="AS16" t="s">
        <v>3</v>
      </c>
      <c r="AT16">
        <v>110</v>
      </c>
      <c r="AU16" t="s">
        <v>3</v>
      </c>
      <c r="AV16">
        <v>0</v>
      </c>
      <c r="AW16">
        <v>1</v>
      </c>
      <c r="AX16">
        <v>-1</v>
      </c>
      <c r="AY16">
        <v>0</v>
      </c>
      <c r="AZ16">
        <v>0</v>
      </c>
      <c r="BA16" t="s">
        <v>3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Y16*Source!I32</f>
        <v>123.72800000000001</v>
      </c>
      <c r="CY16">
        <f>AA16</f>
        <v>553.35</v>
      </c>
      <c r="CZ16">
        <f>AE16</f>
        <v>104.99</v>
      </c>
      <c r="DA16">
        <f>AI16</f>
        <v>5.26</v>
      </c>
      <c r="DB16">
        <f t="shared" si="0"/>
        <v>11548.9</v>
      </c>
      <c r="DC16">
        <f t="shared" si="1"/>
        <v>0</v>
      </c>
    </row>
    <row r="17" spans="1:107">
      <c r="A17">
        <f>ROW(Source!A34)</f>
        <v>34</v>
      </c>
      <c r="B17">
        <v>33985563</v>
      </c>
      <c r="C17">
        <v>33985897</v>
      </c>
      <c r="D17">
        <v>29983441</v>
      </c>
      <c r="E17">
        <v>29983435</v>
      </c>
      <c r="F17">
        <v>1</v>
      </c>
      <c r="G17">
        <v>29983435</v>
      </c>
      <c r="H17">
        <v>1</v>
      </c>
      <c r="I17" t="s">
        <v>171</v>
      </c>
      <c r="J17" t="s">
        <v>3</v>
      </c>
      <c r="K17" t="s">
        <v>172</v>
      </c>
      <c r="L17">
        <v>1191</v>
      </c>
      <c r="N17">
        <v>1013</v>
      </c>
      <c r="O17" t="s">
        <v>173</v>
      </c>
      <c r="P17" t="s">
        <v>173</v>
      </c>
      <c r="Q17">
        <v>1</v>
      </c>
      <c r="W17">
        <v>0</v>
      </c>
      <c r="X17">
        <v>476480486</v>
      </c>
      <c r="Y17">
        <v>21.6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21.6</v>
      </c>
      <c r="AU17" t="s">
        <v>3</v>
      </c>
      <c r="AV17">
        <v>1</v>
      </c>
      <c r="AW17">
        <v>2</v>
      </c>
      <c r="AX17">
        <v>33985907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Y17*Source!I34</f>
        <v>18.221760000000003</v>
      </c>
      <c r="CY17">
        <f>AD17</f>
        <v>0</v>
      </c>
      <c r="CZ17">
        <f>AH17</f>
        <v>0</v>
      </c>
      <c r="DA17">
        <f>AL17</f>
        <v>1</v>
      </c>
      <c r="DB17">
        <f t="shared" si="0"/>
        <v>0</v>
      </c>
      <c r="DC17">
        <f t="shared" si="1"/>
        <v>0</v>
      </c>
    </row>
    <row r="18" spans="1:107">
      <c r="A18">
        <f>ROW(Source!A34)</f>
        <v>34</v>
      </c>
      <c r="B18">
        <v>33985563</v>
      </c>
      <c r="C18">
        <v>33985897</v>
      </c>
      <c r="D18">
        <v>30063269</v>
      </c>
      <c r="E18">
        <v>1</v>
      </c>
      <c r="F18">
        <v>1</v>
      </c>
      <c r="G18">
        <v>29983435</v>
      </c>
      <c r="H18">
        <v>2</v>
      </c>
      <c r="I18" t="s">
        <v>199</v>
      </c>
      <c r="J18" t="s">
        <v>200</v>
      </c>
      <c r="K18" t="s">
        <v>201</v>
      </c>
      <c r="L18">
        <v>1367</v>
      </c>
      <c r="N18">
        <v>1011</v>
      </c>
      <c r="O18" t="s">
        <v>177</v>
      </c>
      <c r="P18" t="s">
        <v>177</v>
      </c>
      <c r="Q18">
        <v>1</v>
      </c>
      <c r="W18">
        <v>0</v>
      </c>
      <c r="X18">
        <v>1109083233</v>
      </c>
      <c r="Y18">
        <v>2.35</v>
      </c>
      <c r="AA18">
        <v>0</v>
      </c>
      <c r="AB18">
        <v>99.53</v>
      </c>
      <c r="AC18">
        <v>23.26</v>
      </c>
      <c r="AD18">
        <v>0</v>
      </c>
      <c r="AE18">
        <v>0</v>
      </c>
      <c r="AF18">
        <v>95.06</v>
      </c>
      <c r="AG18">
        <v>22.22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2.35</v>
      </c>
      <c r="AU18" t="s">
        <v>3</v>
      </c>
      <c r="AV18">
        <v>0</v>
      </c>
      <c r="AW18">
        <v>2</v>
      </c>
      <c r="AX18">
        <v>33985908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Y18*Source!I34</f>
        <v>1.9824600000000001</v>
      </c>
      <c r="CY18">
        <f t="shared" ref="CY18:CY23" si="2">AB18</f>
        <v>99.53</v>
      </c>
      <c r="CZ18">
        <f t="shared" ref="CZ18:CZ23" si="3">AF18</f>
        <v>95.06</v>
      </c>
      <c r="DA18">
        <f t="shared" ref="DA18:DA23" si="4">AJ18</f>
        <v>1</v>
      </c>
      <c r="DB18">
        <f t="shared" si="0"/>
        <v>223.39</v>
      </c>
      <c r="DC18">
        <f t="shared" si="1"/>
        <v>52.22</v>
      </c>
    </row>
    <row r="19" spans="1:107">
      <c r="A19">
        <f>ROW(Source!A34)</f>
        <v>34</v>
      </c>
      <c r="B19">
        <v>33985563</v>
      </c>
      <c r="C19">
        <v>33985897</v>
      </c>
      <c r="D19">
        <v>30063518</v>
      </c>
      <c r="E19">
        <v>1</v>
      </c>
      <c r="F19">
        <v>1</v>
      </c>
      <c r="G19">
        <v>29983435</v>
      </c>
      <c r="H19">
        <v>2</v>
      </c>
      <c r="I19" t="s">
        <v>187</v>
      </c>
      <c r="J19" t="s">
        <v>188</v>
      </c>
      <c r="K19" t="s">
        <v>189</v>
      </c>
      <c r="L19">
        <v>1367</v>
      </c>
      <c r="N19">
        <v>1011</v>
      </c>
      <c r="O19" t="s">
        <v>177</v>
      </c>
      <c r="P19" t="s">
        <v>177</v>
      </c>
      <c r="Q19">
        <v>1</v>
      </c>
      <c r="W19">
        <v>0</v>
      </c>
      <c r="X19">
        <v>378346098</v>
      </c>
      <c r="Y19">
        <v>0.91</v>
      </c>
      <c r="AA19">
        <v>0</v>
      </c>
      <c r="AB19">
        <v>147.19</v>
      </c>
      <c r="AC19">
        <v>29.95</v>
      </c>
      <c r="AD19">
        <v>0</v>
      </c>
      <c r="AE19">
        <v>0</v>
      </c>
      <c r="AF19">
        <v>140.58000000000001</v>
      </c>
      <c r="AG19">
        <v>28.61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0.91</v>
      </c>
      <c r="AU19" t="s">
        <v>3</v>
      </c>
      <c r="AV19">
        <v>0</v>
      </c>
      <c r="AW19">
        <v>2</v>
      </c>
      <c r="AX19">
        <v>33985909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Y19*Source!I34</f>
        <v>0.76767600000000003</v>
      </c>
      <c r="CY19">
        <f t="shared" si="2"/>
        <v>147.19</v>
      </c>
      <c r="CZ19">
        <f t="shared" si="3"/>
        <v>140.58000000000001</v>
      </c>
      <c r="DA19">
        <f t="shared" si="4"/>
        <v>1</v>
      </c>
      <c r="DB19">
        <f t="shared" si="0"/>
        <v>127.93</v>
      </c>
      <c r="DC19">
        <f t="shared" si="1"/>
        <v>26.04</v>
      </c>
    </row>
    <row r="20" spans="1:107">
      <c r="A20">
        <f>ROW(Source!A34)</f>
        <v>34</v>
      </c>
      <c r="B20">
        <v>33985563</v>
      </c>
      <c r="C20">
        <v>33985897</v>
      </c>
      <c r="D20">
        <v>30063503</v>
      </c>
      <c r="E20">
        <v>1</v>
      </c>
      <c r="F20">
        <v>1</v>
      </c>
      <c r="G20">
        <v>29983435</v>
      </c>
      <c r="H20">
        <v>2</v>
      </c>
      <c r="I20" t="s">
        <v>202</v>
      </c>
      <c r="J20" t="s">
        <v>203</v>
      </c>
      <c r="K20" t="s">
        <v>204</v>
      </c>
      <c r="L20">
        <v>1367</v>
      </c>
      <c r="N20">
        <v>1011</v>
      </c>
      <c r="O20" t="s">
        <v>177</v>
      </c>
      <c r="P20" t="s">
        <v>177</v>
      </c>
      <c r="Q20">
        <v>1</v>
      </c>
      <c r="W20">
        <v>0</v>
      </c>
      <c r="X20">
        <v>-251987950</v>
      </c>
      <c r="Y20">
        <v>7.17</v>
      </c>
      <c r="AA20">
        <v>0</v>
      </c>
      <c r="AB20">
        <v>88.81</v>
      </c>
      <c r="AC20">
        <v>23.92</v>
      </c>
      <c r="AD20">
        <v>0</v>
      </c>
      <c r="AE20">
        <v>0</v>
      </c>
      <c r="AF20">
        <v>84.82</v>
      </c>
      <c r="AG20">
        <v>22.85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7.17</v>
      </c>
      <c r="AU20" t="s">
        <v>3</v>
      </c>
      <c r="AV20">
        <v>0</v>
      </c>
      <c r="AW20">
        <v>2</v>
      </c>
      <c r="AX20">
        <v>33985910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Y20*Source!I34</f>
        <v>6.0486120000000003</v>
      </c>
      <c r="CY20">
        <f t="shared" si="2"/>
        <v>88.81</v>
      </c>
      <c r="CZ20">
        <f t="shared" si="3"/>
        <v>84.82</v>
      </c>
      <c r="DA20">
        <f t="shared" si="4"/>
        <v>1</v>
      </c>
      <c r="DB20">
        <f t="shared" si="0"/>
        <v>608.16</v>
      </c>
      <c r="DC20">
        <f t="shared" si="1"/>
        <v>163.83000000000001</v>
      </c>
    </row>
    <row r="21" spans="1:107">
      <c r="A21">
        <f>ROW(Source!A34)</f>
        <v>34</v>
      </c>
      <c r="B21">
        <v>33985563</v>
      </c>
      <c r="C21">
        <v>33985897</v>
      </c>
      <c r="D21">
        <v>30063504</v>
      </c>
      <c r="E21">
        <v>1</v>
      </c>
      <c r="F21">
        <v>1</v>
      </c>
      <c r="G21">
        <v>29983435</v>
      </c>
      <c r="H21">
        <v>2</v>
      </c>
      <c r="I21" t="s">
        <v>205</v>
      </c>
      <c r="J21" t="s">
        <v>206</v>
      </c>
      <c r="K21" t="s">
        <v>207</v>
      </c>
      <c r="L21">
        <v>1367</v>
      </c>
      <c r="N21">
        <v>1011</v>
      </c>
      <c r="O21" t="s">
        <v>177</v>
      </c>
      <c r="P21" t="s">
        <v>177</v>
      </c>
      <c r="Q21">
        <v>1</v>
      </c>
      <c r="W21">
        <v>0</v>
      </c>
      <c r="X21">
        <v>205895447</v>
      </c>
      <c r="Y21">
        <v>14.6</v>
      </c>
      <c r="AA21">
        <v>0</v>
      </c>
      <c r="AB21">
        <v>125.4</v>
      </c>
      <c r="AC21">
        <v>23.92</v>
      </c>
      <c r="AD21">
        <v>0</v>
      </c>
      <c r="AE21">
        <v>0</v>
      </c>
      <c r="AF21">
        <v>119.77</v>
      </c>
      <c r="AG21">
        <v>22.85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14.6</v>
      </c>
      <c r="AU21" t="s">
        <v>3</v>
      </c>
      <c r="AV21">
        <v>0</v>
      </c>
      <c r="AW21">
        <v>2</v>
      </c>
      <c r="AX21">
        <v>33985911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Y21*Source!I34</f>
        <v>12.316559999999999</v>
      </c>
      <c r="CY21">
        <f t="shared" si="2"/>
        <v>125.4</v>
      </c>
      <c r="CZ21">
        <f t="shared" si="3"/>
        <v>119.77</v>
      </c>
      <c r="DA21">
        <f t="shared" si="4"/>
        <v>1</v>
      </c>
      <c r="DB21">
        <f t="shared" si="0"/>
        <v>1748.64</v>
      </c>
      <c r="DC21">
        <f t="shared" si="1"/>
        <v>333.61</v>
      </c>
    </row>
    <row r="22" spans="1:107">
      <c r="A22">
        <f>ROW(Source!A34)</f>
        <v>34</v>
      </c>
      <c r="B22">
        <v>33985563</v>
      </c>
      <c r="C22">
        <v>33985897</v>
      </c>
      <c r="D22">
        <v>30063546</v>
      </c>
      <c r="E22">
        <v>1</v>
      </c>
      <c r="F22">
        <v>1</v>
      </c>
      <c r="G22">
        <v>29983435</v>
      </c>
      <c r="H22">
        <v>2</v>
      </c>
      <c r="I22" t="s">
        <v>190</v>
      </c>
      <c r="J22" t="s">
        <v>191</v>
      </c>
      <c r="K22" t="s">
        <v>192</v>
      </c>
      <c r="L22">
        <v>1367</v>
      </c>
      <c r="N22">
        <v>1011</v>
      </c>
      <c r="O22" t="s">
        <v>177</v>
      </c>
      <c r="P22" t="s">
        <v>177</v>
      </c>
      <c r="Q22">
        <v>1</v>
      </c>
      <c r="W22">
        <v>0</v>
      </c>
      <c r="X22">
        <v>856318566</v>
      </c>
      <c r="Y22">
        <v>1.79</v>
      </c>
      <c r="AA22">
        <v>0</v>
      </c>
      <c r="AB22">
        <v>131.01</v>
      </c>
      <c r="AC22">
        <v>25.9</v>
      </c>
      <c r="AD22">
        <v>0</v>
      </c>
      <c r="AE22">
        <v>0</v>
      </c>
      <c r="AF22">
        <v>125.13</v>
      </c>
      <c r="AG22">
        <v>24.74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1.79</v>
      </c>
      <c r="AU22" t="s">
        <v>3</v>
      </c>
      <c r="AV22">
        <v>0</v>
      </c>
      <c r="AW22">
        <v>2</v>
      </c>
      <c r="AX22">
        <v>33985912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Y22*Source!I34</f>
        <v>1.5100440000000002</v>
      </c>
      <c r="CY22">
        <f t="shared" si="2"/>
        <v>131.01</v>
      </c>
      <c r="CZ22">
        <f t="shared" si="3"/>
        <v>125.13</v>
      </c>
      <c r="DA22">
        <f t="shared" si="4"/>
        <v>1</v>
      </c>
      <c r="DB22">
        <f t="shared" si="0"/>
        <v>223.98</v>
      </c>
      <c r="DC22">
        <f t="shared" si="1"/>
        <v>44.28</v>
      </c>
    </row>
    <row r="23" spans="1:107">
      <c r="A23">
        <f>ROW(Source!A34)</f>
        <v>34</v>
      </c>
      <c r="B23">
        <v>33985563</v>
      </c>
      <c r="C23">
        <v>33985897</v>
      </c>
      <c r="D23">
        <v>30063508</v>
      </c>
      <c r="E23">
        <v>1</v>
      </c>
      <c r="F23">
        <v>1</v>
      </c>
      <c r="G23">
        <v>29983435</v>
      </c>
      <c r="H23">
        <v>2</v>
      </c>
      <c r="I23" t="s">
        <v>193</v>
      </c>
      <c r="J23" t="s">
        <v>194</v>
      </c>
      <c r="K23" t="s">
        <v>195</v>
      </c>
      <c r="L23">
        <v>1367</v>
      </c>
      <c r="N23">
        <v>1011</v>
      </c>
      <c r="O23" t="s">
        <v>177</v>
      </c>
      <c r="P23" t="s">
        <v>177</v>
      </c>
      <c r="Q23">
        <v>1</v>
      </c>
      <c r="W23">
        <v>0</v>
      </c>
      <c r="X23">
        <v>2023875219</v>
      </c>
      <c r="Y23">
        <v>0.52</v>
      </c>
      <c r="AA23">
        <v>0</v>
      </c>
      <c r="AB23">
        <v>186.39</v>
      </c>
      <c r="AC23">
        <v>24.6</v>
      </c>
      <c r="AD23">
        <v>0</v>
      </c>
      <c r="AE23">
        <v>0</v>
      </c>
      <c r="AF23">
        <v>178.02</v>
      </c>
      <c r="AG23">
        <v>23.5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0.52</v>
      </c>
      <c r="AU23" t="s">
        <v>3</v>
      </c>
      <c r="AV23">
        <v>0</v>
      </c>
      <c r="AW23">
        <v>2</v>
      </c>
      <c r="AX23">
        <v>33985913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Y23*Source!I34</f>
        <v>0.43867200000000001</v>
      </c>
      <c r="CY23">
        <f t="shared" si="2"/>
        <v>186.39</v>
      </c>
      <c r="CZ23">
        <f t="shared" si="3"/>
        <v>178.02</v>
      </c>
      <c r="DA23">
        <f t="shared" si="4"/>
        <v>1</v>
      </c>
      <c r="DB23">
        <f t="shared" si="0"/>
        <v>92.57</v>
      </c>
      <c r="DC23">
        <f t="shared" si="1"/>
        <v>12.22</v>
      </c>
    </row>
    <row r="24" spans="1:107">
      <c r="A24">
        <f>ROW(Source!A34)</f>
        <v>34</v>
      </c>
      <c r="B24">
        <v>33985563</v>
      </c>
      <c r="C24">
        <v>33985897</v>
      </c>
      <c r="D24">
        <v>30042537</v>
      </c>
      <c r="E24">
        <v>1</v>
      </c>
      <c r="F24">
        <v>1</v>
      </c>
      <c r="G24">
        <v>29983435</v>
      </c>
      <c r="H24">
        <v>3</v>
      </c>
      <c r="I24" t="s">
        <v>196</v>
      </c>
      <c r="J24" t="s">
        <v>197</v>
      </c>
      <c r="K24" t="s">
        <v>198</v>
      </c>
      <c r="L24">
        <v>1339</v>
      </c>
      <c r="N24">
        <v>1007</v>
      </c>
      <c r="O24" t="s">
        <v>47</v>
      </c>
      <c r="P24" t="s">
        <v>47</v>
      </c>
      <c r="Q24">
        <v>1</v>
      </c>
      <c r="W24">
        <v>0</v>
      </c>
      <c r="X24">
        <v>-862991314</v>
      </c>
      <c r="Y24">
        <v>7</v>
      </c>
      <c r="AA24">
        <v>7.08</v>
      </c>
      <c r="AB24">
        <v>0</v>
      </c>
      <c r="AC24">
        <v>0</v>
      </c>
      <c r="AD24">
        <v>0</v>
      </c>
      <c r="AE24">
        <v>7.07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7</v>
      </c>
      <c r="AU24" t="s">
        <v>3</v>
      </c>
      <c r="AV24">
        <v>0</v>
      </c>
      <c r="AW24">
        <v>2</v>
      </c>
      <c r="AX24">
        <v>33985914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Y24*Source!I34</f>
        <v>5.9051999999999998</v>
      </c>
      <c r="CY24">
        <f>AA24</f>
        <v>7.08</v>
      </c>
      <c r="CZ24">
        <f>AE24</f>
        <v>7.07</v>
      </c>
      <c r="DA24">
        <f>AI24</f>
        <v>1</v>
      </c>
      <c r="DB24">
        <f t="shared" si="0"/>
        <v>49.49</v>
      </c>
      <c r="DC24">
        <f t="shared" si="1"/>
        <v>0</v>
      </c>
    </row>
    <row r="25" spans="1:107">
      <c r="A25">
        <f>ROW(Source!A34)</f>
        <v>34</v>
      </c>
      <c r="B25">
        <v>33985563</v>
      </c>
      <c r="C25">
        <v>33985897</v>
      </c>
      <c r="D25">
        <v>30041241</v>
      </c>
      <c r="E25">
        <v>1</v>
      </c>
      <c r="F25">
        <v>1</v>
      </c>
      <c r="G25">
        <v>29983435</v>
      </c>
      <c r="H25">
        <v>3</v>
      </c>
      <c r="I25" t="s">
        <v>54</v>
      </c>
      <c r="J25" t="s">
        <v>56</v>
      </c>
      <c r="K25" t="s">
        <v>55</v>
      </c>
      <c r="L25">
        <v>1339</v>
      </c>
      <c r="N25">
        <v>1007</v>
      </c>
      <c r="O25" t="s">
        <v>47</v>
      </c>
      <c r="P25" t="s">
        <v>47</v>
      </c>
      <c r="Q25">
        <v>1</v>
      </c>
      <c r="W25">
        <v>0</v>
      </c>
      <c r="X25">
        <v>-820942871</v>
      </c>
      <c r="Y25">
        <v>126</v>
      </c>
      <c r="AA25">
        <v>1818.81</v>
      </c>
      <c r="AB25">
        <v>0</v>
      </c>
      <c r="AC25">
        <v>0</v>
      </c>
      <c r="AD25">
        <v>0</v>
      </c>
      <c r="AE25">
        <v>173.37</v>
      </c>
      <c r="AF25">
        <v>0</v>
      </c>
      <c r="AG25">
        <v>0</v>
      </c>
      <c r="AH25">
        <v>0</v>
      </c>
      <c r="AI25">
        <v>10.47</v>
      </c>
      <c r="AJ25">
        <v>1</v>
      </c>
      <c r="AK25">
        <v>1</v>
      </c>
      <c r="AL25">
        <v>1</v>
      </c>
      <c r="AN25">
        <v>0</v>
      </c>
      <c r="AO25">
        <v>0</v>
      </c>
      <c r="AP25">
        <v>0</v>
      </c>
      <c r="AQ25">
        <v>0</v>
      </c>
      <c r="AR25">
        <v>0</v>
      </c>
      <c r="AS25" t="s">
        <v>3</v>
      </c>
      <c r="AT25">
        <v>126</v>
      </c>
      <c r="AU25" t="s">
        <v>3</v>
      </c>
      <c r="AV25">
        <v>0</v>
      </c>
      <c r="AW25">
        <v>1</v>
      </c>
      <c r="AX25">
        <v>-1</v>
      </c>
      <c r="AY25">
        <v>0</v>
      </c>
      <c r="AZ25">
        <v>0</v>
      </c>
      <c r="BA25" t="s">
        <v>3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Y25*Source!I34</f>
        <v>106.2936</v>
      </c>
      <c r="CY25">
        <f>AA25</f>
        <v>1818.81</v>
      </c>
      <c r="CZ25">
        <f>AE25</f>
        <v>173.37</v>
      </c>
      <c r="DA25">
        <f>AI25</f>
        <v>10.47</v>
      </c>
      <c r="DB25">
        <f t="shared" si="0"/>
        <v>21844.62</v>
      </c>
      <c r="DC25">
        <f t="shared" si="1"/>
        <v>0</v>
      </c>
    </row>
    <row r="26" spans="1:107">
      <c r="A26">
        <f>ROW(Source!A36)</f>
        <v>36</v>
      </c>
      <c r="B26">
        <v>33985563</v>
      </c>
      <c r="C26">
        <v>33985917</v>
      </c>
      <c r="D26">
        <v>29983441</v>
      </c>
      <c r="E26">
        <v>29983435</v>
      </c>
      <c r="F26">
        <v>1</v>
      </c>
      <c r="G26">
        <v>29983435</v>
      </c>
      <c r="H26">
        <v>1</v>
      </c>
      <c r="I26" t="s">
        <v>171</v>
      </c>
      <c r="J26" t="s">
        <v>3</v>
      </c>
      <c r="K26" t="s">
        <v>172</v>
      </c>
      <c r="L26">
        <v>1191</v>
      </c>
      <c r="N26">
        <v>1013</v>
      </c>
      <c r="O26" t="s">
        <v>173</v>
      </c>
      <c r="P26" t="s">
        <v>173</v>
      </c>
      <c r="Q26">
        <v>1</v>
      </c>
      <c r="W26">
        <v>0</v>
      </c>
      <c r="X26">
        <v>476480486</v>
      </c>
      <c r="Y26">
        <v>8.9600000000000009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8.9600000000000009</v>
      </c>
      <c r="AU26" t="s">
        <v>3</v>
      </c>
      <c r="AV26">
        <v>1</v>
      </c>
      <c r="AW26">
        <v>2</v>
      </c>
      <c r="AX26">
        <v>33985922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Y26*Source!I36</f>
        <v>50.391040000000004</v>
      </c>
      <c r="CY26">
        <f>AD26</f>
        <v>0</v>
      </c>
      <c r="CZ26">
        <f>AH26</f>
        <v>0</v>
      </c>
      <c r="DA26">
        <f>AL26</f>
        <v>1</v>
      </c>
      <c r="DB26">
        <f t="shared" si="0"/>
        <v>0</v>
      </c>
      <c r="DC26">
        <f t="shared" si="1"/>
        <v>0</v>
      </c>
    </row>
    <row r="27" spans="1:107">
      <c r="A27">
        <f>ROW(Source!A36)</f>
        <v>36</v>
      </c>
      <c r="B27">
        <v>33985563</v>
      </c>
      <c r="C27">
        <v>33985917</v>
      </c>
      <c r="D27">
        <v>30063503</v>
      </c>
      <c r="E27">
        <v>1</v>
      </c>
      <c r="F27">
        <v>1</v>
      </c>
      <c r="G27">
        <v>29983435</v>
      </c>
      <c r="H27">
        <v>2</v>
      </c>
      <c r="I27" t="s">
        <v>202</v>
      </c>
      <c r="J27" t="s">
        <v>203</v>
      </c>
      <c r="K27" t="s">
        <v>204</v>
      </c>
      <c r="L27">
        <v>1367</v>
      </c>
      <c r="N27">
        <v>1011</v>
      </c>
      <c r="O27" t="s">
        <v>177</v>
      </c>
      <c r="P27" t="s">
        <v>177</v>
      </c>
      <c r="Q27">
        <v>1</v>
      </c>
      <c r="W27">
        <v>0</v>
      </c>
      <c r="X27">
        <v>-251987950</v>
      </c>
      <c r="Y27">
        <v>0.71</v>
      </c>
      <c r="AA27">
        <v>0</v>
      </c>
      <c r="AB27">
        <v>88.81</v>
      </c>
      <c r="AC27">
        <v>23.92</v>
      </c>
      <c r="AD27">
        <v>0</v>
      </c>
      <c r="AE27">
        <v>0</v>
      </c>
      <c r="AF27">
        <v>84.82</v>
      </c>
      <c r="AG27">
        <v>22.85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0.71</v>
      </c>
      <c r="AU27" t="s">
        <v>3</v>
      </c>
      <c r="AV27">
        <v>0</v>
      </c>
      <c r="AW27">
        <v>2</v>
      </c>
      <c r="AX27">
        <v>33985923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Y27*Source!I36</f>
        <v>3.9930399999999997</v>
      </c>
      <c r="CY27">
        <f>AB27</f>
        <v>88.81</v>
      </c>
      <c r="CZ27">
        <f>AF27</f>
        <v>84.82</v>
      </c>
      <c r="DA27">
        <f>AJ27</f>
        <v>1</v>
      </c>
      <c r="DB27">
        <f t="shared" si="0"/>
        <v>60.22</v>
      </c>
      <c r="DC27">
        <f t="shared" si="1"/>
        <v>16.22</v>
      </c>
    </row>
    <row r="28" spans="1:107">
      <c r="A28">
        <f>ROW(Source!A36)</f>
        <v>36</v>
      </c>
      <c r="B28">
        <v>33985563</v>
      </c>
      <c r="C28">
        <v>33985917</v>
      </c>
      <c r="D28">
        <v>30042602</v>
      </c>
      <c r="E28">
        <v>1</v>
      </c>
      <c r="F28">
        <v>1</v>
      </c>
      <c r="G28">
        <v>29983435</v>
      </c>
      <c r="H28">
        <v>3</v>
      </c>
      <c r="I28" t="s">
        <v>208</v>
      </c>
      <c r="J28" t="s">
        <v>209</v>
      </c>
      <c r="K28" t="s">
        <v>210</v>
      </c>
      <c r="L28">
        <v>1348</v>
      </c>
      <c r="N28">
        <v>1009</v>
      </c>
      <c r="O28" t="s">
        <v>67</v>
      </c>
      <c r="P28" t="s">
        <v>67</v>
      </c>
      <c r="Q28">
        <v>1000</v>
      </c>
      <c r="W28">
        <v>0</v>
      </c>
      <c r="X28">
        <v>435343267</v>
      </c>
      <c r="Y28">
        <v>0.06</v>
      </c>
      <c r="AA28">
        <v>3501.78</v>
      </c>
      <c r="AB28">
        <v>0</v>
      </c>
      <c r="AC28">
        <v>0</v>
      </c>
      <c r="AD28">
        <v>0</v>
      </c>
      <c r="AE28">
        <v>3501.78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0.06</v>
      </c>
      <c r="AU28" t="s">
        <v>3</v>
      </c>
      <c r="AV28">
        <v>0</v>
      </c>
      <c r="AW28">
        <v>2</v>
      </c>
      <c r="AX28">
        <v>33985924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Y28*Source!I36</f>
        <v>0.33743999999999996</v>
      </c>
      <c r="CY28">
        <f>AA28</f>
        <v>3501.78</v>
      </c>
      <c r="CZ28">
        <f>AE28</f>
        <v>3501.78</v>
      </c>
      <c r="DA28">
        <f>AI28</f>
        <v>1</v>
      </c>
      <c r="DB28">
        <f t="shared" si="0"/>
        <v>210.11</v>
      </c>
      <c r="DC28">
        <f t="shared" si="1"/>
        <v>0</v>
      </c>
    </row>
    <row r="29" spans="1:107">
      <c r="A29">
        <f>ROW(Source!A36)</f>
        <v>36</v>
      </c>
      <c r="B29">
        <v>33985563</v>
      </c>
      <c r="C29">
        <v>33985917</v>
      </c>
      <c r="D29">
        <v>30057765</v>
      </c>
      <c r="E29">
        <v>1</v>
      </c>
      <c r="F29">
        <v>1</v>
      </c>
      <c r="G29">
        <v>29983435</v>
      </c>
      <c r="H29">
        <v>3</v>
      </c>
      <c r="I29" t="s">
        <v>65</v>
      </c>
      <c r="J29" t="s">
        <v>68</v>
      </c>
      <c r="K29" t="s">
        <v>66</v>
      </c>
      <c r="L29">
        <v>1348</v>
      </c>
      <c r="N29">
        <v>1009</v>
      </c>
      <c r="O29" t="s">
        <v>67</v>
      </c>
      <c r="P29" t="s">
        <v>67</v>
      </c>
      <c r="Q29">
        <v>1000</v>
      </c>
      <c r="W29">
        <v>0</v>
      </c>
      <c r="X29">
        <v>-956564323</v>
      </c>
      <c r="Y29">
        <v>11.1435</v>
      </c>
      <c r="AA29">
        <v>2623.17</v>
      </c>
      <c r="AB29">
        <v>0</v>
      </c>
      <c r="AC29">
        <v>0</v>
      </c>
      <c r="AD29">
        <v>0</v>
      </c>
      <c r="AE29">
        <v>317.95999999999998</v>
      </c>
      <c r="AF29">
        <v>0</v>
      </c>
      <c r="AG29">
        <v>0</v>
      </c>
      <c r="AH29">
        <v>0</v>
      </c>
      <c r="AI29">
        <v>8.25</v>
      </c>
      <c r="AJ29">
        <v>1</v>
      </c>
      <c r="AK29">
        <v>1</v>
      </c>
      <c r="AL29">
        <v>1</v>
      </c>
      <c r="AN29">
        <v>0</v>
      </c>
      <c r="AO29">
        <v>0</v>
      </c>
      <c r="AP29">
        <v>0</v>
      </c>
      <c r="AQ29">
        <v>0</v>
      </c>
      <c r="AR29">
        <v>0</v>
      </c>
      <c r="AS29" t="s">
        <v>3</v>
      </c>
      <c r="AT29">
        <v>11.1435</v>
      </c>
      <c r="AU29" t="s">
        <v>3</v>
      </c>
      <c r="AV29">
        <v>0</v>
      </c>
      <c r="AW29">
        <v>1</v>
      </c>
      <c r="AX29">
        <v>-1</v>
      </c>
      <c r="AY29">
        <v>0</v>
      </c>
      <c r="AZ29">
        <v>0</v>
      </c>
      <c r="BA29" t="s">
        <v>3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Y29*Source!I36</f>
        <v>62.671043999999995</v>
      </c>
      <c r="CY29">
        <f>AA29</f>
        <v>2623.17</v>
      </c>
      <c r="CZ29">
        <f>AE29</f>
        <v>317.95999999999998</v>
      </c>
      <c r="DA29">
        <f>AI29</f>
        <v>8.25</v>
      </c>
      <c r="DB29">
        <f t="shared" si="0"/>
        <v>3543.19</v>
      </c>
      <c r="DC29">
        <f t="shared" si="1"/>
        <v>0</v>
      </c>
    </row>
    <row r="30" spans="1:107">
      <c r="A30">
        <f>ROW(Source!A73)</f>
        <v>73</v>
      </c>
      <c r="B30">
        <v>33985563</v>
      </c>
      <c r="C30">
        <v>33985927</v>
      </c>
      <c r="D30">
        <v>29983441</v>
      </c>
      <c r="E30">
        <v>29983435</v>
      </c>
      <c r="F30">
        <v>1</v>
      </c>
      <c r="G30">
        <v>29983435</v>
      </c>
      <c r="H30">
        <v>1</v>
      </c>
      <c r="I30" t="s">
        <v>171</v>
      </c>
      <c r="J30" t="s">
        <v>3</v>
      </c>
      <c r="K30" t="s">
        <v>172</v>
      </c>
      <c r="L30">
        <v>1191</v>
      </c>
      <c r="N30">
        <v>1013</v>
      </c>
      <c r="O30" t="s">
        <v>173</v>
      </c>
      <c r="P30" t="s">
        <v>173</v>
      </c>
      <c r="Q30">
        <v>1</v>
      </c>
      <c r="W30">
        <v>0</v>
      </c>
      <c r="X30">
        <v>476480486</v>
      </c>
      <c r="Y30">
        <v>1.38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1.38</v>
      </c>
      <c r="AU30" t="s">
        <v>3</v>
      </c>
      <c r="AV30">
        <v>1</v>
      </c>
      <c r="AW30">
        <v>2</v>
      </c>
      <c r="AX30">
        <v>33985931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Y30*Source!I73</f>
        <v>0.41656680000000001</v>
      </c>
      <c r="CY30">
        <f>AD30</f>
        <v>0</v>
      </c>
      <c r="CZ30">
        <f>AH30</f>
        <v>0</v>
      </c>
      <c r="DA30">
        <f>AL30</f>
        <v>1</v>
      </c>
      <c r="DB30">
        <f t="shared" si="0"/>
        <v>0</v>
      </c>
      <c r="DC30">
        <f t="shared" si="1"/>
        <v>0</v>
      </c>
    </row>
    <row r="31" spans="1:107">
      <c r="A31">
        <f>ROW(Source!A73)</f>
        <v>73</v>
      </c>
      <c r="B31">
        <v>33985563</v>
      </c>
      <c r="C31">
        <v>33985927</v>
      </c>
      <c r="D31">
        <v>30063245</v>
      </c>
      <c r="E31">
        <v>1</v>
      </c>
      <c r="F31">
        <v>1</v>
      </c>
      <c r="G31">
        <v>29983435</v>
      </c>
      <c r="H31">
        <v>2</v>
      </c>
      <c r="I31" t="s">
        <v>174</v>
      </c>
      <c r="J31" t="s">
        <v>175</v>
      </c>
      <c r="K31" t="s">
        <v>176</v>
      </c>
      <c r="L31">
        <v>1367</v>
      </c>
      <c r="N31">
        <v>1011</v>
      </c>
      <c r="O31" t="s">
        <v>177</v>
      </c>
      <c r="P31" t="s">
        <v>177</v>
      </c>
      <c r="Q31">
        <v>1</v>
      </c>
      <c r="W31">
        <v>0</v>
      </c>
      <c r="X31">
        <v>781556702</v>
      </c>
      <c r="Y31">
        <v>3.9874999999999998</v>
      </c>
      <c r="AA31">
        <v>0</v>
      </c>
      <c r="AB31">
        <v>193.58</v>
      </c>
      <c r="AC31">
        <v>34.090000000000003</v>
      </c>
      <c r="AD31">
        <v>0</v>
      </c>
      <c r="AE31">
        <v>0</v>
      </c>
      <c r="AF31">
        <v>162.4</v>
      </c>
      <c r="AG31">
        <v>28.6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3.9874999999999998</v>
      </c>
      <c r="AU31" t="s">
        <v>3</v>
      </c>
      <c r="AV31">
        <v>0</v>
      </c>
      <c r="AW31">
        <v>2</v>
      </c>
      <c r="AX31">
        <v>33985932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Y31*Source!I73</f>
        <v>1.20366675</v>
      </c>
      <c r="CY31">
        <f>AB31</f>
        <v>193.58</v>
      </c>
      <c r="CZ31">
        <f>AF31</f>
        <v>162.4</v>
      </c>
      <c r="DA31">
        <f>AJ31</f>
        <v>1</v>
      </c>
      <c r="DB31">
        <f t="shared" si="0"/>
        <v>647.57000000000005</v>
      </c>
      <c r="DC31">
        <f t="shared" si="1"/>
        <v>114.04</v>
      </c>
    </row>
    <row r="32" spans="1:107">
      <c r="A32">
        <f>ROW(Source!A73)</f>
        <v>73</v>
      </c>
      <c r="B32">
        <v>33985563</v>
      </c>
      <c r="C32">
        <v>33985927</v>
      </c>
      <c r="D32">
        <v>30063270</v>
      </c>
      <c r="E32">
        <v>1</v>
      </c>
      <c r="F32">
        <v>1</v>
      </c>
      <c r="G32">
        <v>29983435</v>
      </c>
      <c r="H32">
        <v>2</v>
      </c>
      <c r="I32" t="s">
        <v>178</v>
      </c>
      <c r="J32" t="s">
        <v>179</v>
      </c>
      <c r="K32" t="s">
        <v>180</v>
      </c>
      <c r="L32">
        <v>1367</v>
      </c>
      <c r="N32">
        <v>1011</v>
      </c>
      <c r="O32" t="s">
        <v>177</v>
      </c>
      <c r="P32" t="s">
        <v>177</v>
      </c>
      <c r="Q32">
        <v>1</v>
      </c>
      <c r="W32">
        <v>0</v>
      </c>
      <c r="X32">
        <v>695902881</v>
      </c>
      <c r="Y32">
        <v>0.997</v>
      </c>
      <c r="AA32">
        <v>0</v>
      </c>
      <c r="AB32">
        <v>131.49</v>
      </c>
      <c r="AC32">
        <v>31.61</v>
      </c>
      <c r="AD32">
        <v>0</v>
      </c>
      <c r="AE32">
        <v>0</v>
      </c>
      <c r="AF32">
        <v>110.31</v>
      </c>
      <c r="AG32">
        <v>26.52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0.997</v>
      </c>
      <c r="AU32" t="s">
        <v>3</v>
      </c>
      <c r="AV32">
        <v>0</v>
      </c>
      <c r="AW32">
        <v>2</v>
      </c>
      <c r="AX32">
        <v>33985933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Y32*Source!I73</f>
        <v>0.30095442</v>
      </c>
      <c r="CY32">
        <f>AB32</f>
        <v>131.49</v>
      </c>
      <c r="CZ32">
        <f>AF32</f>
        <v>110.31</v>
      </c>
      <c r="DA32">
        <f>AJ32</f>
        <v>1</v>
      </c>
      <c r="DB32">
        <f t="shared" si="0"/>
        <v>109.98</v>
      </c>
      <c r="DC32">
        <f t="shared" si="1"/>
        <v>26.44</v>
      </c>
    </row>
    <row r="33" spans="1:107">
      <c r="A33">
        <f>ROW(Source!A74)</f>
        <v>74</v>
      </c>
      <c r="B33">
        <v>33985563</v>
      </c>
      <c r="C33">
        <v>33985934</v>
      </c>
      <c r="D33">
        <v>29983441</v>
      </c>
      <c r="E33">
        <v>29983435</v>
      </c>
      <c r="F33">
        <v>1</v>
      </c>
      <c r="G33">
        <v>29983435</v>
      </c>
      <c r="H33">
        <v>1</v>
      </c>
      <c r="I33" t="s">
        <v>171</v>
      </c>
      <c r="J33" t="s">
        <v>3</v>
      </c>
      <c r="K33" t="s">
        <v>172</v>
      </c>
      <c r="L33">
        <v>1191</v>
      </c>
      <c r="N33">
        <v>1013</v>
      </c>
      <c r="O33" t="s">
        <v>173</v>
      </c>
      <c r="P33" t="s">
        <v>173</v>
      </c>
      <c r="Q33">
        <v>1</v>
      </c>
      <c r="W33">
        <v>0</v>
      </c>
      <c r="X33">
        <v>476480486</v>
      </c>
      <c r="Y33">
        <v>192.7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192.7</v>
      </c>
      <c r="AU33" t="s">
        <v>3</v>
      </c>
      <c r="AV33">
        <v>1</v>
      </c>
      <c r="AW33">
        <v>2</v>
      </c>
      <c r="AX33">
        <v>33985936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Y33*Source!I74</f>
        <v>6.463158</v>
      </c>
      <c r="CY33">
        <f>AD33</f>
        <v>0</v>
      </c>
      <c r="CZ33">
        <f>AH33</f>
        <v>0</v>
      </c>
      <c r="DA33">
        <f>AL33</f>
        <v>1</v>
      </c>
      <c r="DB33">
        <f t="shared" ref="DB33:DB64" si="5">ROUND(ROUND(AT33*CZ33,2),6)</f>
        <v>0</v>
      </c>
      <c r="DC33">
        <f t="shared" ref="DC33:DC64" si="6">ROUND(ROUND(AT33*AG33,2),6)</f>
        <v>0</v>
      </c>
    </row>
    <row r="34" spans="1:107">
      <c r="A34">
        <f>ROW(Source!A75)</f>
        <v>75</v>
      </c>
      <c r="B34">
        <v>33985563</v>
      </c>
      <c r="C34">
        <v>33985937</v>
      </c>
      <c r="D34">
        <v>29983441</v>
      </c>
      <c r="E34">
        <v>29983435</v>
      </c>
      <c r="F34">
        <v>1</v>
      </c>
      <c r="G34">
        <v>29983435</v>
      </c>
      <c r="H34">
        <v>1</v>
      </c>
      <c r="I34" t="s">
        <v>171</v>
      </c>
      <c r="J34" t="s">
        <v>3</v>
      </c>
      <c r="K34" t="s">
        <v>172</v>
      </c>
      <c r="L34">
        <v>1191</v>
      </c>
      <c r="N34">
        <v>1013</v>
      </c>
      <c r="O34" t="s">
        <v>173</v>
      </c>
      <c r="P34" t="s">
        <v>173</v>
      </c>
      <c r="Q34">
        <v>1</v>
      </c>
      <c r="W34">
        <v>0</v>
      </c>
      <c r="X34">
        <v>476480486</v>
      </c>
      <c r="Y34">
        <v>83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83</v>
      </c>
      <c r="AU34" t="s">
        <v>3</v>
      </c>
      <c r="AV34">
        <v>1</v>
      </c>
      <c r="AW34">
        <v>2</v>
      </c>
      <c r="AX34">
        <v>33985939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Y34*Source!I75</f>
        <v>2.78382</v>
      </c>
      <c r="CY34">
        <f>AD34</f>
        <v>0</v>
      </c>
      <c r="CZ34">
        <f>AH34</f>
        <v>0</v>
      </c>
      <c r="DA34">
        <f>AL34</f>
        <v>1</v>
      </c>
      <c r="DB34">
        <f t="shared" si="5"/>
        <v>0</v>
      </c>
      <c r="DC34">
        <f t="shared" si="6"/>
        <v>0</v>
      </c>
    </row>
    <row r="35" spans="1:107">
      <c r="A35">
        <f>ROW(Source!A76)</f>
        <v>76</v>
      </c>
      <c r="B35">
        <v>33985563</v>
      </c>
      <c r="C35">
        <v>33985940</v>
      </c>
      <c r="D35">
        <v>29983441</v>
      </c>
      <c r="E35">
        <v>29983435</v>
      </c>
      <c r="F35">
        <v>1</v>
      </c>
      <c r="G35">
        <v>29983435</v>
      </c>
      <c r="H35">
        <v>1</v>
      </c>
      <c r="I35" t="s">
        <v>171</v>
      </c>
      <c r="J35" t="s">
        <v>3</v>
      </c>
      <c r="K35" t="s">
        <v>172</v>
      </c>
      <c r="L35">
        <v>1191</v>
      </c>
      <c r="N35">
        <v>1013</v>
      </c>
      <c r="O35" t="s">
        <v>173</v>
      </c>
      <c r="P35" t="s">
        <v>173</v>
      </c>
      <c r="Q35">
        <v>1</v>
      </c>
      <c r="W35">
        <v>0</v>
      </c>
      <c r="X35">
        <v>476480486</v>
      </c>
      <c r="Y35">
        <v>14.4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14.4</v>
      </c>
      <c r="AU35" t="s">
        <v>3</v>
      </c>
      <c r="AV35">
        <v>1</v>
      </c>
      <c r="AW35">
        <v>2</v>
      </c>
      <c r="AX35">
        <v>33985949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Y35*Source!I76</f>
        <v>2.2464</v>
      </c>
      <c r="CY35">
        <f>AD35</f>
        <v>0</v>
      </c>
      <c r="CZ35">
        <f>AH35</f>
        <v>0</v>
      </c>
      <c r="DA35">
        <f>AL35</f>
        <v>1</v>
      </c>
      <c r="DB35">
        <f t="shared" si="5"/>
        <v>0</v>
      </c>
      <c r="DC35">
        <f t="shared" si="6"/>
        <v>0</v>
      </c>
    </row>
    <row r="36" spans="1:107">
      <c r="A36">
        <f>ROW(Source!A76)</f>
        <v>76</v>
      </c>
      <c r="B36">
        <v>33985563</v>
      </c>
      <c r="C36">
        <v>33985940</v>
      </c>
      <c r="D36">
        <v>30063290</v>
      </c>
      <c r="E36">
        <v>1</v>
      </c>
      <c r="F36">
        <v>1</v>
      </c>
      <c r="G36">
        <v>29983435</v>
      </c>
      <c r="H36">
        <v>2</v>
      </c>
      <c r="I36" t="s">
        <v>181</v>
      </c>
      <c r="J36" t="s">
        <v>182</v>
      </c>
      <c r="K36" t="s">
        <v>183</v>
      </c>
      <c r="L36">
        <v>1367</v>
      </c>
      <c r="N36">
        <v>1011</v>
      </c>
      <c r="O36" t="s">
        <v>177</v>
      </c>
      <c r="P36" t="s">
        <v>177</v>
      </c>
      <c r="Q36">
        <v>1</v>
      </c>
      <c r="W36">
        <v>0</v>
      </c>
      <c r="X36">
        <v>1928543733</v>
      </c>
      <c r="Y36">
        <v>1.66</v>
      </c>
      <c r="AA36">
        <v>0</v>
      </c>
      <c r="AB36">
        <v>122.38</v>
      </c>
      <c r="AC36">
        <v>24.51</v>
      </c>
      <c r="AD36">
        <v>0</v>
      </c>
      <c r="AE36">
        <v>0</v>
      </c>
      <c r="AF36">
        <v>116.89</v>
      </c>
      <c r="AG36">
        <v>23.41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1.66</v>
      </c>
      <c r="AU36" t="s">
        <v>3</v>
      </c>
      <c r="AV36">
        <v>0</v>
      </c>
      <c r="AW36">
        <v>2</v>
      </c>
      <c r="AX36">
        <v>33985950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Y36*Source!I76</f>
        <v>0.25895999999999997</v>
      </c>
      <c r="CY36">
        <f>AB36</f>
        <v>122.38</v>
      </c>
      <c r="CZ36">
        <f>AF36</f>
        <v>116.89</v>
      </c>
      <c r="DA36">
        <f>AJ36</f>
        <v>1</v>
      </c>
      <c r="DB36">
        <f t="shared" si="5"/>
        <v>194.04</v>
      </c>
      <c r="DC36">
        <f t="shared" si="6"/>
        <v>38.86</v>
      </c>
    </row>
    <row r="37" spans="1:107">
      <c r="A37">
        <f>ROW(Source!A76)</f>
        <v>76</v>
      </c>
      <c r="B37">
        <v>33985563</v>
      </c>
      <c r="C37">
        <v>33985940</v>
      </c>
      <c r="D37">
        <v>30063515</v>
      </c>
      <c r="E37">
        <v>1</v>
      </c>
      <c r="F37">
        <v>1</v>
      </c>
      <c r="G37">
        <v>29983435</v>
      </c>
      <c r="H37">
        <v>2</v>
      </c>
      <c r="I37" t="s">
        <v>184</v>
      </c>
      <c r="J37" t="s">
        <v>185</v>
      </c>
      <c r="K37" t="s">
        <v>186</v>
      </c>
      <c r="L37">
        <v>1367</v>
      </c>
      <c r="N37">
        <v>1011</v>
      </c>
      <c r="O37" t="s">
        <v>177</v>
      </c>
      <c r="P37" t="s">
        <v>177</v>
      </c>
      <c r="Q37">
        <v>1</v>
      </c>
      <c r="W37">
        <v>0</v>
      </c>
      <c r="X37">
        <v>142191915</v>
      </c>
      <c r="Y37">
        <v>1.66</v>
      </c>
      <c r="AA37">
        <v>0</v>
      </c>
      <c r="AB37">
        <v>65.930000000000007</v>
      </c>
      <c r="AC37">
        <v>6.95</v>
      </c>
      <c r="AD37">
        <v>0</v>
      </c>
      <c r="AE37">
        <v>0</v>
      </c>
      <c r="AF37">
        <v>62.97</v>
      </c>
      <c r="AG37">
        <v>6.64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1.66</v>
      </c>
      <c r="AU37" t="s">
        <v>3</v>
      </c>
      <c r="AV37">
        <v>0</v>
      </c>
      <c r="AW37">
        <v>2</v>
      </c>
      <c r="AX37">
        <v>33985951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Y37*Source!I76</f>
        <v>0.25895999999999997</v>
      </c>
      <c r="CY37">
        <f>AB37</f>
        <v>65.930000000000007</v>
      </c>
      <c r="CZ37">
        <f>AF37</f>
        <v>62.97</v>
      </c>
      <c r="DA37">
        <f>AJ37</f>
        <v>1</v>
      </c>
      <c r="DB37">
        <f t="shared" si="5"/>
        <v>104.53</v>
      </c>
      <c r="DC37">
        <f t="shared" si="6"/>
        <v>11.02</v>
      </c>
    </row>
    <row r="38" spans="1:107">
      <c r="A38">
        <f>ROW(Source!A76)</f>
        <v>76</v>
      </c>
      <c r="B38">
        <v>33985563</v>
      </c>
      <c r="C38">
        <v>33985940</v>
      </c>
      <c r="D38">
        <v>30063518</v>
      </c>
      <c r="E38">
        <v>1</v>
      </c>
      <c r="F38">
        <v>1</v>
      </c>
      <c r="G38">
        <v>29983435</v>
      </c>
      <c r="H38">
        <v>2</v>
      </c>
      <c r="I38" t="s">
        <v>187</v>
      </c>
      <c r="J38" t="s">
        <v>188</v>
      </c>
      <c r="K38" t="s">
        <v>189</v>
      </c>
      <c r="L38">
        <v>1367</v>
      </c>
      <c r="N38">
        <v>1011</v>
      </c>
      <c r="O38" t="s">
        <v>177</v>
      </c>
      <c r="P38" t="s">
        <v>177</v>
      </c>
      <c r="Q38">
        <v>1</v>
      </c>
      <c r="W38">
        <v>0</v>
      </c>
      <c r="X38">
        <v>378346098</v>
      </c>
      <c r="Y38">
        <v>0.65</v>
      </c>
      <c r="AA38">
        <v>0</v>
      </c>
      <c r="AB38">
        <v>147.19</v>
      </c>
      <c r="AC38">
        <v>29.95</v>
      </c>
      <c r="AD38">
        <v>0</v>
      </c>
      <c r="AE38">
        <v>0</v>
      </c>
      <c r="AF38">
        <v>140.58000000000001</v>
      </c>
      <c r="AG38">
        <v>28.61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0.65</v>
      </c>
      <c r="AU38" t="s">
        <v>3</v>
      </c>
      <c r="AV38">
        <v>0</v>
      </c>
      <c r="AW38">
        <v>2</v>
      </c>
      <c r="AX38">
        <v>33985952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Y38*Source!I76</f>
        <v>0.1014</v>
      </c>
      <c r="CY38">
        <f>AB38</f>
        <v>147.19</v>
      </c>
      <c r="CZ38">
        <f>AF38</f>
        <v>140.58000000000001</v>
      </c>
      <c r="DA38">
        <f>AJ38</f>
        <v>1</v>
      </c>
      <c r="DB38">
        <f t="shared" si="5"/>
        <v>91.38</v>
      </c>
      <c r="DC38">
        <f t="shared" si="6"/>
        <v>18.600000000000001</v>
      </c>
    </row>
    <row r="39" spans="1:107">
      <c r="A39">
        <f>ROW(Source!A76)</f>
        <v>76</v>
      </c>
      <c r="B39">
        <v>33985563</v>
      </c>
      <c r="C39">
        <v>33985940</v>
      </c>
      <c r="D39">
        <v>30063546</v>
      </c>
      <c r="E39">
        <v>1</v>
      </c>
      <c r="F39">
        <v>1</v>
      </c>
      <c r="G39">
        <v>29983435</v>
      </c>
      <c r="H39">
        <v>2</v>
      </c>
      <c r="I39" t="s">
        <v>190</v>
      </c>
      <c r="J39" t="s">
        <v>191</v>
      </c>
      <c r="K39" t="s">
        <v>192</v>
      </c>
      <c r="L39">
        <v>1367</v>
      </c>
      <c r="N39">
        <v>1011</v>
      </c>
      <c r="O39" t="s">
        <v>177</v>
      </c>
      <c r="P39" t="s">
        <v>177</v>
      </c>
      <c r="Q39">
        <v>1</v>
      </c>
      <c r="W39">
        <v>0</v>
      </c>
      <c r="X39">
        <v>856318566</v>
      </c>
      <c r="Y39">
        <v>1.55</v>
      </c>
      <c r="AA39">
        <v>0</v>
      </c>
      <c r="AB39">
        <v>131.01</v>
      </c>
      <c r="AC39">
        <v>25.9</v>
      </c>
      <c r="AD39">
        <v>0</v>
      </c>
      <c r="AE39">
        <v>0</v>
      </c>
      <c r="AF39">
        <v>125.13</v>
      </c>
      <c r="AG39">
        <v>24.74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1.55</v>
      </c>
      <c r="AU39" t="s">
        <v>3</v>
      </c>
      <c r="AV39">
        <v>0</v>
      </c>
      <c r="AW39">
        <v>2</v>
      </c>
      <c r="AX39">
        <v>33985953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Y39*Source!I76</f>
        <v>0.24180000000000001</v>
      </c>
      <c r="CY39">
        <f>AB39</f>
        <v>131.01</v>
      </c>
      <c r="CZ39">
        <f>AF39</f>
        <v>125.13</v>
      </c>
      <c r="DA39">
        <f>AJ39</f>
        <v>1</v>
      </c>
      <c r="DB39">
        <f t="shared" si="5"/>
        <v>193.95</v>
      </c>
      <c r="DC39">
        <f t="shared" si="6"/>
        <v>38.35</v>
      </c>
    </row>
    <row r="40" spans="1:107">
      <c r="A40">
        <f>ROW(Source!A76)</f>
        <v>76</v>
      </c>
      <c r="B40">
        <v>33985563</v>
      </c>
      <c r="C40">
        <v>33985940</v>
      </c>
      <c r="D40">
        <v>30063508</v>
      </c>
      <c r="E40">
        <v>1</v>
      </c>
      <c r="F40">
        <v>1</v>
      </c>
      <c r="G40">
        <v>29983435</v>
      </c>
      <c r="H40">
        <v>2</v>
      </c>
      <c r="I40" t="s">
        <v>193</v>
      </c>
      <c r="J40" t="s">
        <v>194</v>
      </c>
      <c r="K40" t="s">
        <v>195</v>
      </c>
      <c r="L40">
        <v>1367</v>
      </c>
      <c r="N40">
        <v>1011</v>
      </c>
      <c r="O40" t="s">
        <v>177</v>
      </c>
      <c r="P40" t="s">
        <v>177</v>
      </c>
      <c r="Q40">
        <v>1</v>
      </c>
      <c r="W40">
        <v>0</v>
      </c>
      <c r="X40">
        <v>2023875219</v>
      </c>
      <c r="Y40">
        <v>0.52</v>
      </c>
      <c r="AA40">
        <v>0</v>
      </c>
      <c r="AB40">
        <v>186.39</v>
      </c>
      <c r="AC40">
        <v>24.6</v>
      </c>
      <c r="AD40">
        <v>0</v>
      </c>
      <c r="AE40">
        <v>0</v>
      </c>
      <c r="AF40">
        <v>178.02</v>
      </c>
      <c r="AG40">
        <v>23.5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0.52</v>
      </c>
      <c r="AU40" t="s">
        <v>3</v>
      </c>
      <c r="AV40">
        <v>0</v>
      </c>
      <c r="AW40">
        <v>2</v>
      </c>
      <c r="AX40">
        <v>33985954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Y40*Source!I76</f>
        <v>8.1119999999999998E-2</v>
      </c>
      <c r="CY40">
        <f>AB40</f>
        <v>186.39</v>
      </c>
      <c r="CZ40">
        <f>AF40</f>
        <v>178.02</v>
      </c>
      <c r="DA40">
        <f>AJ40</f>
        <v>1</v>
      </c>
      <c r="DB40">
        <f t="shared" si="5"/>
        <v>92.57</v>
      </c>
      <c r="DC40">
        <f t="shared" si="6"/>
        <v>12.22</v>
      </c>
    </row>
    <row r="41" spans="1:107">
      <c r="A41">
        <f>ROW(Source!A76)</f>
        <v>76</v>
      </c>
      <c r="B41">
        <v>33985563</v>
      </c>
      <c r="C41">
        <v>33985940</v>
      </c>
      <c r="D41">
        <v>30042537</v>
      </c>
      <c r="E41">
        <v>1</v>
      </c>
      <c r="F41">
        <v>1</v>
      </c>
      <c r="G41">
        <v>29983435</v>
      </c>
      <c r="H41">
        <v>3</v>
      </c>
      <c r="I41" t="s">
        <v>196</v>
      </c>
      <c r="J41" t="s">
        <v>197</v>
      </c>
      <c r="K41" t="s">
        <v>198</v>
      </c>
      <c r="L41">
        <v>1339</v>
      </c>
      <c r="N41">
        <v>1007</v>
      </c>
      <c r="O41" t="s">
        <v>47</v>
      </c>
      <c r="P41" t="s">
        <v>47</v>
      </c>
      <c r="Q41">
        <v>1</v>
      </c>
      <c r="W41">
        <v>0</v>
      </c>
      <c r="X41">
        <v>-862991314</v>
      </c>
      <c r="Y41">
        <v>5</v>
      </c>
      <c r="AA41">
        <v>7.08</v>
      </c>
      <c r="AB41">
        <v>0</v>
      </c>
      <c r="AC41">
        <v>0</v>
      </c>
      <c r="AD41">
        <v>0</v>
      </c>
      <c r="AE41">
        <v>7.07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5</v>
      </c>
      <c r="AU41" t="s">
        <v>3</v>
      </c>
      <c r="AV41">
        <v>0</v>
      </c>
      <c r="AW41">
        <v>2</v>
      </c>
      <c r="AX41">
        <v>33985955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Y41*Source!I76</f>
        <v>0.78</v>
      </c>
      <c r="CY41">
        <f>AA41</f>
        <v>7.08</v>
      </c>
      <c r="CZ41">
        <f>AE41</f>
        <v>7.07</v>
      </c>
      <c r="DA41">
        <f>AI41</f>
        <v>1</v>
      </c>
      <c r="DB41">
        <f t="shared" si="5"/>
        <v>35.35</v>
      </c>
      <c r="DC41">
        <f t="shared" si="6"/>
        <v>0</v>
      </c>
    </row>
    <row r="42" spans="1:107">
      <c r="A42">
        <f>ROW(Source!A76)</f>
        <v>76</v>
      </c>
      <c r="B42">
        <v>33985563</v>
      </c>
      <c r="C42">
        <v>33985940</v>
      </c>
      <c r="D42">
        <v>30041978</v>
      </c>
      <c r="E42">
        <v>1</v>
      </c>
      <c r="F42">
        <v>1</v>
      </c>
      <c r="G42">
        <v>29983435</v>
      </c>
      <c r="H42">
        <v>3</v>
      </c>
      <c r="I42" t="s">
        <v>45</v>
      </c>
      <c r="J42" t="s">
        <v>48</v>
      </c>
      <c r="K42" t="s">
        <v>46</v>
      </c>
      <c r="L42">
        <v>1339</v>
      </c>
      <c r="N42">
        <v>1007</v>
      </c>
      <c r="O42" t="s">
        <v>47</v>
      </c>
      <c r="P42" t="s">
        <v>47</v>
      </c>
      <c r="Q42">
        <v>1</v>
      </c>
      <c r="W42">
        <v>0</v>
      </c>
      <c r="X42">
        <v>2069056849</v>
      </c>
      <c r="Y42">
        <v>110</v>
      </c>
      <c r="AA42">
        <v>553.35</v>
      </c>
      <c r="AB42">
        <v>0</v>
      </c>
      <c r="AC42">
        <v>0</v>
      </c>
      <c r="AD42">
        <v>0</v>
      </c>
      <c r="AE42">
        <v>104.99</v>
      </c>
      <c r="AF42">
        <v>0</v>
      </c>
      <c r="AG42">
        <v>0</v>
      </c>
      <c r="AH42">
        <v>0</v>
      </c>
      <c r="AI42">
        <v>5.26</v>
      </c>
      <c r="AJ42">
        <v>1</v>
      </c>
      <c r="AK42">
        <v>1</v>
      </c>
      <c r="AL42">
        <v>1</v>
      </c>
      <c r="AN42">
        <v>0</v>
      </c>
      <c r="AO42">
        <v>0</v>
      </c>
      <c r="AP42">
        <v>0</v>
      </c>
      <c r="AQ42">
        <v>0</v>
      </c>
      <c r="AR42">
        <v>0</v>
      </c>
      <c r="AS42" t="s">
        <v>3</v>
      </c>
      <c r="AT42">
        <v>110</v>
      </c>
      <c r="AU42" t="s">
        <v>3</v>
      </c>
      <c r="AV42">
        <v>0</v>
      </c>
      <c r="AW42">
        <v>1</v>
      </c>
      <c r="AX42">
        <v>-1</v>
      </c>
      <c r="AY42">
        <v>0</v>
      </c>
      <c r="AZ42">
        <v>0</v>
      </c>
      <c r="BA42" t="s">
        <v>3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Y42*Source!I76</f>
        <v>17.16</v>
      </c>
      <c r="CY42">
        <f>AA42</f>
        <v>553.35</v>
      </c>
      <c r="CZ42">
        <f>AE42</f>
        <v>104.99</v>
      </c>
      <c r="DA42">
        <f>AI42</f>
        <v>5.26</v>
      </c>
      <c r="DB42">
        <f t="shared" si="5"/>
        <v>11548.9</v>
      </c>
      <c r="DC42">
        <f t="shared" si="6"/>
        <v>0</v>
      </c>
    </row>
    <row r="43" spans="1:107">
      <c r="A43">
        <f>ROW(Source!A78)</f>
        <v>78</v>
      </c>
      <c r="B43">
        <v>33985563</v>
      </c>
      <c r="C43">
        <v>33985958</v>
      </c>
      <c r="D43">
        <v>29983441</v>
      </c>
      <c r="E43">
        <v>29983435</v>
      </c>
      <c r="F43">
        <v>1</v>
      </c>
      <c r="G43">
        <v>29983435</v>
      </c>
      <c r="H43">
        <v>1</v>
      </c>
      <c r="I43" t="s">
        <v>171</v>
      </c>
      <c r="J43" t="s">
        <v>3</v>
      </c>
      <c r="K43" t="s">
        <v>172</v>
      </c>
      <c r="L43">
        <v>1191</v>
      </c>
      <c r="N43">
        <v>1013</v>
      </c>
      <c r="O43" t="s">
        <v>173</v>
      </c>
      <c r="P43" t="s">
        <v>173</v>
      </c>
      <c r="Q43">
        <v>1</v>
      </c>
      <c r="W43">
        <v>0</v>
      </c>
      <c r="X43">
        <v>476480486</v>
      </c>
      <c r="Y43">
        <v>21.6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21.6</v>
      </c>
      <c r="AU43" t="s">
        <v>3</v>
      </c>
      <c r="AV43">
        <v>1</v>
      </c>
      <c r="AW43">
        <v>2</v>
      </c>
      <c r="AX43">
        <v>33985968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Y43*Source!I78</f>
        <v>2.02176</v>
      </c>
      <c r="CY43">
        <f>AD43</f>
        <v>0</v>
      </c>
      <c r="CZ43">
        <f>AH43</f>
        <v>0</v>
      </c>
      <c r="DA43">
        <f>AL43</f>
        <v>1</v>
      </c>
      <c r="DB43">
        <f t="shared" si="5"/>
        <v>0</v>
      </c>
      <c r="DC43">
        <f t="shared" si="6"/>
        <v>0</v>
      </c>
    </row>
    <row r="44" spans="1:107">
      <c r="A44">
        <f>ROW(Source!A78)</f>
        <v>78</v>
      </c>
      <c r="B44">
        <v>33985563</v>
      </c>
      <c r="C44">
        <v>33985958</v>
      </c>
      <c r="D44">
        <v>30063269</v>
      </c>
      <c r="E44">
        <v>1</v>
      </c>
      <c r="F44">
        <v>1</v>
      </c>
      <c r="G44">
        <v>29983435</v>
      </c>
      <c r="H44">
        <v>2</v>
      </c>
      <c r="I44" t="s">
        <v>199</v>
      </c>
      <c r="J44" t="s">
        <v>200</v>
      </c>
      <c r="K44" t="s">
        <v>201</v>
      </c>
      <c r="L44">
        <v>1367</v>
      </c>
      <c r="N44">
        <v>1011</v>
      </c>
      <c r="O44" t="s">
        <v>177</v>
      </c>
      <c r="P44" t="s">
        <v>177</v>
      </c>
      <c r="Q44">
        <v>1</v>
      </c>
      <c r="W44">
        <v>0</v>
      </c>
      <c r="X44">
        <v>1109083233</v>
      </c>
      <c r="Y44">
        <v>2.35</v>
      </c>
      <c r="AA44">
        <v>0</v>
      </c>
      <c r="AB44">
        <v>99.53</v>
      </c>
      <c r="AC44">
        <v>23.26</v>
      </c>
      <c r="AD44">
        <v>0</v>
      </c>
      <c r="AE44">
        <v>0</v>
      </c>
      <c r="AF44">
        <v>95.06</v>
      </c>
      <c r="AG44">
        <v>22.22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2.35</v>
      </c>
      <c r="AU44" t="s">
        <v>3</v>
      </c>
      <c r="AV44">
        <v>0</v>
      </c>
      <c r="AW44">
        <v>2</v>
      </c>
      <c r="AX44">
        <v>33985969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Y44*Source!I78</f>
        <v>0.21996000000000002</v>
      </c>
      <c r="CY44">
        <f t="shared" ref="CY44:CY49" si="7">AB44</f>
        <v>99.53</v>
      </c>
      <c r="CZ44">
        <f t="shared" ref="CZ44:CZ49" si="8">AF44</f>
        <v>95.06</v>
      </c>
      <c r="DA44">
        <f t="shared" ref="DA44:DA49" si="9">AJ44</f>
        <v>1</v>
      </c>
      <c r="DB44">
        <f t="shared" si="5"/>
        <v>223.39</v>
      </c>
      <c r="DC44">
        <f t="shared" si="6"/>
        <v>52.22</v>
      </c>
    </row>
    <row r="45" spans="1:107">
      <c r="A45">
        <f>ROW(Source!A78)</f>
        <v>78</v>
      </c>
      <c r="B45">
        <v>33985563</v>
      </c>
      <c r="C45">
        <v>33985958</v>
      </c>
      <c r="D45">
        <v>30063518</v>
      </c>
      <c r="E45">
        <v>1</v>
      </c>
      <c r="F45">
        <v>1</v>
      </c>
      <c r="G45">
        <v>29983435</v>
      </c>
      <c r="H45">
        <v>2</v>
      </c>
      <c r="I45" t="s">
        <v>187</v>
      </c>
      <c r="J45" t="s">
        <v>188</v>
      </c>
      <c r="K45" t="s">
        <v>189</v>
      </c>
      <c r="L45">
        <v>1367</v>
      </c>
      <c r="N45">
        <v>1011</v>
      </c>
      <c r="O45" t="s">
        <v>177</v>
      </c>
      <c r="P45" t="s">
        <v>177</v>
      </c>
      <c r="Q45">
        <v>1</v>
      </c>
      <c r="W45">
        <v>0</v>
      </c>
      <c r="X45">
        <v>378346098</v>
      </c>
      <c r="Y45">
        <v>0.91</v>
      </c>
      <c r="AA45">
        <v>0</v>
      </c>
      <c r="AB45">
        <v>147.19</v>
      </c>
      <c r="AC45">
        <v>29.95</v>
      </c>
      <c r="AD45">
        <v>0</v>
      </c>
      <c r="AE45">
        <v>0</v>
      </c>
      <c r="AF45">
        <v>140.58000000000001</v>
      </c>
      <c r="AG45">
        <v>28.61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0.91</v>
      </c>
      <c r="AU45" t="s">
        <v>3</v>
      </c>
      <c r="AV45">
        <v>0</v>
      </c>
      <c r="AW45">
        <v>2</v>
      </c>
      <c r="AX45">
        <v>33985970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Y45*Source!I78</f>
        <v>8.5176000000000002E-2</v>
      </c>
      <c r="CY45">
        <f t="shared" si="7"/>
        <v>147.19</v>
      </c>
      <c r="CZ45">
        <f t="shared" si="8"/>
        <v>140.58000000000001</v>
      </c>
      <c r="DA45">
        <f t="shared" si="9"/>
        <v>1</v>
      </c>
      <c r="DB45">
        <f t="shared" si="5"/>
        <v>127.93</v>
      </c>
      <c r="DC45">
        <f t="shared" si="6"/>
        <v>26.04</v>
      </c>
    </row>
    <row r="46" spans="1:107">
      <c r="A46">
        <f>ROW(Source!A78)</f>
        <v>78</v>
      </c>
      <c r="B46">
        <v>33985563</v>
      </c>
      <c r="C46">
        <v>33985958</v>
      </c>
      <c r="D46">
        <v>30063503</v>
      </c>
      <c r="E46">
        <v>1</v>
      </c>
      <c r="F46">
        <v>1</v>
      </c>
      <c r="G46">
        <v>29983435</v>
      </c>
      <c r="H46">
        <v>2</v>
      </c>
      <c r="I46" t="s">
        <v>202</v>
      </c>
      <c r="J46" t="s">
        <v>203</v>
      </c>
      <c r="K46" t="s">
        <v>204</v>
      </c>
      <c r="L46">
        <v>1367</v>
      </c>
      <c r="N46">
        <v>1011</v>
      </c>
      <c r="O46" t="s">
        <v>177</v>
      </c>
      <c r="P46" t="s">
        <v>177</v>
      </c>
      <c r="Q46">
        <v>1</v>
      </c>
      <c r="W46">
        <v>0</v>
      </c>
      <c r="X46">
        <v>-251987950</v>
      </c>
      <c r="Y46">
        <v>7.17</v>
      </c>
      <c r="AA46">
        <v>0</v>
      </c>
      <c r="AB46">
        <v>88.81</v>
      </c>
      <c r="AC46">
        <v>23.92</v>
      </c>
      <c r="AD46">
        <v>0</v>
      </c>
      <c r="AE46">
        <v>0</v>
      </c>
      <c r="AF46">
        <v>84.82</v>
      </c>
      <c r="AG46">
        <v>22.85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7.17</v>
      </c>
      <c r="AU46" t="s">
        <v>3</v>
      </c>
      <c r="AV46">
        <v>0</v>
      </c>
      <c r="AW46">
        <v>2</v>
      </c>
      <c r="AX46">
        <v>33985971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Y46*Source!I78</f>
        <v>0.67111200000000004</v>
      </c>
      <c r="CY46">
        <f t="shared" si="7"/>
        <v>88.81</v>
      </c>
      <c r="CZ46">
        <f t="shared" si="8"/>
        <v>84.82</v>
      </c>
      <c r="DA46">
        <f t="shared" si="9"/>
        <v>1</v>
      </c>
      <c r="DB46">
        <f t="shared" si="5"/>
        <v>608.16</v>
      </c>
      <c r="DC46">
        <f t="shared" si="6"/>
        <v>163.83000000000001</v>
      </c>
    </row>
    <row r="47" spans="1:107">
      <c r="A47">
        <f>ROW(Source!A78)</f>
        <v>78</v>
      </c>
      <c r="B47">
        <v>33985563</v>
      </c>
      <c r="C47">
        <v>33985958</v>
      </c>
      <c r="D47">
        <v>30063504</v>
      </c>
      <c r="E47">
        <v>1</v>
      </c>
      <c r="F47">
        <v>1</v>
      </c>
      <c r="G47">
        <v>29983435</v>
      </c>
      <c r="H47">
        <v>2</v>
      </c>
      <c r="I47" t="s">
        <v>205</v>
      </c>
      <c r="J47" t="s">
        <v>206</v>
      </c>
      <c r="K47" t="s">
        <v>207</v>
      </c>
      <c r="L47">
        <v>1367</v>
      </c>
      <c r="N47">
        <v>1011</v>
      </c>
      <c r="O47" t="s">
        <v>177</v>
      </c>
      <c r="P47" t="s">
        <v>177</v>
      </c>
      <c r="Q47">
        <v>1</v>
      </c>
      <c r="W47">
        <v>0</v>
      </c>
      <c r="X47">
        <v>205895447</v>
      </c>
      <c r="Y47">
        <v>14.6</v>
      </c>
      <c r="AA47">
        <v>0</v>
      </c>
      <c r="AB47">
        <v>125.4</v>
      </c>
      <c r="AC47">
        <v>23.92</v>
      </c>
      <c r="AD47">
        <v>0</v>
      </c>
      <c r="AE47">
        <v>0</v>
      </c>
      <c r="AF47">
        <v>119.77</v>
      </c>
      <c r="AG47">
        <v>22.85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14.6</v>
      </c>
      <c r="AU47" t="s">
        <v>3</v>
      </c>
      <c r="AV47">
        <v>0</v>
      </c>
      <c r="AW47">
        <v>2</v>
      </c>
      <c r="AX47">
        <v>33985972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Y47*Source!I78</f>
        <v>1.36656</v>
      </c>
      <c r="CY47">
        <f t="shared" si="7"/>
        <v>125.4</v>
      </c>
      <c r="CZ47">
        <f t="shared" si="8"/>
        <v>119.77</v>
      </c>
      <c r="DA47">
        <f t="shared" si="9"/>
        <v>1</v>
      </c>
      <c r="DB47">
        <f t="shared" si="5"/>
        <v>1748.64</v>
      </c>
      <c r="DC47">
        <f t="shared" si="6"/>
        <v>333.61</v>
      </c>
    </row>
    <row r="48" spans="1:107">
      <c r="A48">
        <f>ROW(Source!A78)</f>
        <v>78</v>
      </c>
      <c r="B48">
        <v>33985563</v>
      </c>
      <c r="C48">
        <v>33985958</v>
      </c>
      <c r="D48">
        <v>30063546</v>
      </c>
      <c r="E48">
        <v>1</v>
      </c>
      <c r="F48">
        <v>1</v>
      </c>
      <c r="G48">
        <v>29983435</v>
      </c>
      <c r="H48">
        <v>2</v>
      </c>
      <c r="I48" t="s">
        <v>190</v>
      </c>
      <c r="J48" t="s">
        <v>191</v>
      </c>
      <c r="K48" t="s">
        <v>192</v>
      </c>
      <c r="L48">
        <v>1367</v>
      </c>
      <c r="N48">
        <v>1011</v>
      </c>
      <c r="O48" t="s">
        <v>177</v>
      </c>
      <c r="P48" t="s">
        <v>177</v>
      </c>
      <c r="Q48">
        <v>1</v>
      </c>
      <c r="W48">
        <v>0</v>
      </c>
      <c r="X48">
        <v>856318566</v>
      </c>
      <c r="Y48">
        <v>1.79</v>
      </c>
      <c r="AA48">
        <v>0</v>
      </c>
      <c r="AB48">
        <v>131.01</v>
      </c>
      <c r="AC48">
        <v>25.9</v>
      </c>
      <c r="AD48">
        <v>0</v>
      </c>
      <c r="AE48">
        <v>0</v>
      </c>
      <c r="AF48">
        <v>125.13</v>
      </c>
      <c r="AG48">
        <v>24.74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1.79</v>
      </c>
      <c r="AU48" t="s">
        <v>3</v>
      </c>
      <c r="AV48">
        <v>0</v>
      </c>
      <c r="AW48">
        <v>2</v>
      </c>
      <c r="AX48">
        <v>33985973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Y48*Source!I78</f>
        <v>0.167544</v>
      </c>
      <c r="CY48">
        <f t="shared" si="7"/>
        <v>131.01</v>
      </c>
      <c r="CZ48">
        <f t="shared" si="8"/>
        <v>125.13</v>
      </c>
      <c r="DA48">
        <f t="shared" si="9"/>
        <v>1</v>
      </c>
      <c r="DB48">
        <f t="shared" si="5"/>
        <v>223.98</v>
      </c>
      <c r="DC48">
        <f t="shared" si="6"/>
        <v>44.28</v>
      </c>
    </row>
    <row r="49" spans="1:107">
      <c r="A49">
        <f>ROW(Source!A78)</f>
        <v>78</v>
      </c>
      <c r="B49">
        <v>33985563</v>
      </c>
      <c r="C49">
        <v>33985958</v>
      </c>
      <c r="D49">
        <v>30063508</v>
      </c>
      <c r="E49">
        <v>1</v>
      </c>
      <c r="F49">
        <v>1</v>
      </c>
      <c r="G49">
        <v>29983435</v>
      </c>
      <c r="H49">
        <v>2</v>
      </c>
      <c r="I49" t="s">
        <v>193</v>
      </c>
      <c r="J49" t="s">
        <v>194</v>
      </c>
      <c r="K49" t="s">
        <v>195</v>
      </c>
      <c r="L49">
        <v>1367</v>
      </c>
      <c r="N49">
        <v>1011</v>
      </c>
      <c r="O49" t="s">
        <v>177</v>
      </c>
      <c r="P49" t="s">
        <v>177</v>
      </c>
      <c r="Q49">
        <v>1</v>
      </c>
      <c r="W49">
        <v>0</v>
      </c>
      <c r="X49">
        <v>2023875219</v>
      </c>
      <c r="Y49">
        <v>0.52</v>
      </c>
      <c r="AA49">
        <v>0</v>
      </c>
      <c r="AB49">
        <v>186.39</v>
      </c>
      <c r="AC49">
        <v>24.6</v>
      </c>
      <c r="AD49">
        <v>0</v>
      </c>
      <c r="AE49">
        <v>0</v>
      </c>
      <c r="AF49">
        <v>178.02</v>
      </c>
      <c r="AG49">
        <v>23.5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0.52</v>
      </c>
      <c r="AU49" t="s">
        <v>3</v>
      </c>
      <c r="AV49">
        <v>0</v>
      </c>
      <c r="AW49">
        <v>2</v>
      </c>
      <c r="AX49">
        <v>33985974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Y49*Source!I78</f>
        <v>4.8672E-2</v>
      </c>
      <c r="CY49">
        <f t="shared" si="7"/>
        <v>186.39</v>
      </c>
      <c r="CZ49">
        <f t="shared" si="8"/>
        <v>178.02</v>
      </c>
      <c r="DA49">
        <f t="shared" si="9"/>
        <v>1</v>
      </c>
      <c r="DB49">
        <f t="shared" si="5"/>
        <v>92.57</v>
      </c>
      <c r="DC49">
        <f t="shared" si="6"/>
        <v>12.22</v>
      </c>
    </row>
    <row r="50" spans="1:107">
      <c r="A50">
        <f>ROW(Source!A78)</f>
        <v>78</v>
      </c>
      <c r="B50">
        <v>33985563</v>
      </c>
      <c r="C50">
        <v>33985958</v>
      </c>
      <c r="D50">
        <v>30042537</v>
      </c>
      <c r="E50">
        <v>1</v>
      </c>
      <c r="F50">
        <v>1</v>
      </c>
      <c r="G50">
        <v>29983435</v>
      </c>
      <c r="H50">
        <v>3</v>
      </c>
      <c r="I50" t="s">
        <v>196</v>
      </c>
      <c r="J50" t="s">
        <v>197</v>
      </c>
      <c r="K50" t="s">
        <v>198</v>
      </c>
      <c r="L50">
        <v>1339</v>
      </c>
      <c r="N50">
        <v>1007</v>
      </c>
      <c r="O50" t="s">
        <v>47</v>
      </c>
      <c r="P50" t="s">
        <v>47</v>
      </c>
      <c r="Q50">
        <v>1</v>
      </c>
      <c r="W50">
        <v>0</v>
      </c>
      <c r="X50">
        <v>-862991314</v>
      </c>
      <c r="Y50">
        <v>7</v>
      </c>
      <c r="AA50">
        <v>7.08</v>
      </c>
      <c r="AB50">
        <v>0</v>
      </c>
      <c r="AC50">
        <v>0</v>
      </c>
      <c r="AD50">
        <v>0</v>
      </c>
      <c r="AE50">
        <v>7.07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7</v>
      </c>
      <c r="AU50" t="s">
        <v>3</v>
      </c>
      <c r="AV50">
        <v>0</v>
      </c>
      <c r="AW50">
        <v>2</v>
      </c>
      <c r="AX50">
        <v>33985975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Y50*Source!I78</f>
        <v>0.6552</v>
      </c>
      <c r="CY50">
        <f>AA50</f>
        <v>7.08</v>
      </c>
      <c r="CZ50">
        <f>AE50</f>
        <v>7.07</v>
      </c>
      <c r="DA50">
        <f>AI50</f>
        <v>1</v>
      </c>
      <c r="DB50">
        <f t="shared" si="5"/>
        <v>49.49</v>
      </c>
      <c r="DC50">
        <f t="shared" si="6"/>
        <v>0</v>
      </c>
    </row>
    <row r="51" spans="1:107">
      <c r="A51">
        <f>ROW(Source!A78)</f>
        <v>78</v>
      </c>
      <c r="B51">
        <v>33985563</v>
      </c>
      <c r="C51">
        <v>33985958</v>
      </c>
      <c r="D51">
        <v>30041241</v>
      </c>
      <c r="E51">
        <v>1</v>
      </c>
      <c r="F51">
        <v>1</v>
      </c>
      <c r="G51">
        <v>29983435</v>
      </c>
      <c r="H51">
        <v>3</v>
      </c>
      <c r="I51" t="s">
        <v>54</v>
      </c>
      <c r="J51" t="s">
        <v>56</v>
      </c>
      <c r="K51" t="s">
        <v>55</v>
      </c>
      <c r="L51">
        <v>1339</v>
      </c>
      <c r="N51">
        <v>1007</v>
      </c>
      <c r="O51" t="s">
        <v>47</v>
      </c>
      <c r="P51" t="s">
        <v>47</v>
      </c>
      <c r="Q51">
        <v>1</v>
      </c>
      <c r="W51">
        <v>0</v>
      </c>
      <c r="X51">
        <v>-820942871</v>
      </c>
      <c r="Y51">
        <v>126</v>
      </c>
      <c r="AA51">
        <v>1818.81</v>
      </c>
      <c r="AB51">
        <v>0</v>
      </c>
      <c r="AC51">
        <v>0</v>
      </c>
      <c r="AD51">
        <v>0</v>
      </c>
      <c r="AE51">
        <v>173.37</v>
      </c>
      <c r="AF51">
        <v>0</v>
      </c>
      <c r="AG51">
        <v>0</v>
      </c>
      <c r="AH51">
        <v>0</v>
      </c>
      <c r="AI51">
        <v>10.47</v>
      </c>
      <c r="AJ51">
        <v>1</v>
      </c>
      <c r="AK51">
        <v>1</v>
      </c>
      <c r="AL51">
        <v>1</v>
      </c>
      <c r="AN51">
        <v>0</v>
      </c>
      <c r="AO51">
        <v>0</v>
      </c>
      <c r="AP51">
        <v>0</v>
      </c>
      <c r="AQ51">
        <v>0</v>
      </c>
      <c r="AR51">
        <v>0</v>
      </c>
      <c r="AS51" t="s">
        <v>3</v>
      </c>
      <c r="AT51">
        <v>126</v>
      </c>
      <c r="AU51" t="s">
        <v>3</v>
      </c>
      <c r="AV51">
        <v>0</v>
      </c>
      <c r="AW51">
        <v>1</v>
      </c>
      <c r="AX51">
        <v>-1</v>
      </c>
      <c r="AY51">
        <v>0</v>
      </c>
      <c r="AZ51">
        <v>0</v>
      </c>
      <c r="BA51" t="s">
        <v>3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Y51*Source!I78</f>
        <v>11.7936</v>
      </c>
      <c r="CY51">
        <f>AA51</f>
        <v>1818.81</v>
      </c>
      <c r="CZ51">
        <f>AE51</f>
        <v>173.37</v>
      </c>
      <c r="DA51">
        <f>AI51</f>
        <v>10.47</v>
      </c>
      <c r="DB51">
        <f t="shared" si="5"/>
        <v>21844.62</v>
      </c>
      <c r="DC51">
        <f t="shared" si="6"/>
        <v>0</v>
      </c>
    </row>
    <row r="52" spans="1:107">
      <c r="A52">
        <f>ROW(Source!A80)</f>
        <v>80</v>
      </c>
      <c r="B52">
        <v>33985563</v>
      </c>
      <c r="C52">
        <v>33985978</v>
      </c>
      <c r="D52">
        <v>29983441</v>
      </c>
      <c r="E52">
        <v>29983435</v>
      </c>
      <c r="F52">
        <v>1</v>
      </c>
      <c r="G52">
        <v>29983435</v>
      </c>
      <c r="H52">
        <v>1</v>
      </c>
      <c r="I52" t="s">
        <v>171</v>
      </c>
      <c r="J52" t="s">
        <v>3</v>
      </c>
      <c r="K52" t="s">
        <v>172</v>
      </c>
      <c r="L52">
        <v>1191</v>
      </c>
      <c r="N52">
        <v>1013</v>
      </c>
      <c r="O52" t="s">
        <v>173</v>
      </c>
      <c r="P52" t="s">
        <v>173</v>
      </c>
      <c r="Q52">
        <v>1</v>
      </c>
      <c r="W52">
        <v>0</v>
      </c>
      <c r="X52">
        <v>476480486</v>
      </c>
      <c r="Y52">
        <v>116.59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116.59</v>
      </c>
      <c r="AU52" t="s">
        <v>3</v>
      </c>
      <c r="AV52">
        <v>1</v>
      </c>
      <c r="AW52">
        <v>2</v>
      </c>
      <c r="AX52">
        <v>33985989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Y52*Source!I80</f>
        <v>90.940200000000004</v>
      </c>
      <c r="CY52">
        <f>AD52</f>
        <v>0</v>
      </c>
      <c r="CZ52">
        <f>AH52</f>
        <v>0</v>
      </c>
      <c r="DA52">
        <f>AL52</f>
        <v>1</v>
      </c>
      <c r="DB52">
        <f t="shared" si="5"/>
        <v>0</v>
      </c>
      <c r="DC52">
        <f t="shared" si="6"/>
        <v>0</v>
      </c>
    </row>
    <row r="53" spans="1:107">
      <c r="A53">
        <f>ROW(Source!A80)</f>
        <v>80</v>
      </c>
      <c r="B53">
        <v>33985563</v>
      </c>
      <c r="C53">
        <v>33985978</v>
      </c>
      <c r="D53">
        <v>30063988</v>
      </c>
      <c r="E53">
        <v>1</v>
      </c>
      <c r="F53">
        <v>1</v>
      </c>
      <c r="G53">
        <v>29983435</v>
      </c>
      <c r="H53">
        <v>2</v>
      </c>
      <c r="I53" t="s">
        <v>211</v>
      </c>
      <c r="J53" t="s">
        <v>212</v>
      </c>
      <c r="K53" t="s">
        <v>213</v>
      </c>
      <c r="L53">
        <v>1367</v>
      </c>
      <c r="N53">
        <v>1011</v>
      </c>
      <c r="O53" t="s">
        <v>177</v>
      </c>
      <c r="P53" t="s">
        <v>177</v>
      </c>
      <c r="Q53">
        <v>1</v>
      </c>
      <c r="W53">
        <v>0</v>
      </c>
      <c r="X53">
        <v>-1049359691</v>
      </c>
      <c r="Y53">
        <v>3.28</v>
      </c>
      <c r="AA53">
        <v>0</v>
      </c>
      <c r="AB53">
        <v>17.420000000000002</v>
      </c>
      <c r="AC53">
        <v>0.15</v>
      </c>
      <c r="AD53">
        <v>0</v>
      </c>
      <c r="AE53">
        <v>0</v>
      </c>
      <c r="AF53">
        <v>17.420000000000002</v>
      </c>
      <c r="AG53">
        <v>0.15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3.28</v>
      </c>
      <c r="AU53" t="s">
        <v>3</v>
      </c>
      <c r="AV53">
        <v>0</v>
      </c>
      <c r="AW53">
        <v>2</v>
      </c>
      <c r="AX53">
        <v>33985990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Y53*Source!I80</f>
        <v>2.5583999999999998</v>
      </c>
      <c r="CY53">
        <f>AB53</f>
        <v>17.420000000000002</v>
      </c>
      <c r="CZ53">
        <f>AF53</f>
        <v>17.420000000000002</v>
      </c>
      <c r="DA53">
        <f>AJ53</f>
        <v>1</v>
      </c>
      <c r="DB53">
        <f t="shared" si="5"/>
        <v>57.14</v>
      </c>
      <c r="DC53">
        <f t="shared" si="6"/>
        <v>0.49</v>
      </c>
    </row>
    <row r="54" spans="1:107">
      <c r="A54">
        <f>ROW(Source!A80)</f>
        <v>80</v>
      </c>
      <c r="B54">
        <v>33985563</v>
      </c>
      <c r="C54">
        <v>33985978</v>
      </c>
      <c r="D54">
        <v>30064095</v>
      </c>
      <c r="E54">
        <v>1</v>
      </c>
      <c r="F54">
        <v>1</v>
      </c>
      <c r="G54">
        <v>29983435</v>
      </c>
      <c r="H54">
        <v>2</v>
      </c>
      <c r="I54" t="s">
        <v>214</v>
      </c>
      <c r="J54" t="s">
        <v>215</v>
      </c>
      <c r="K54" t="s">
        <v>216</v>
      </c>
      <c r="L54">
        <v>1367</v>
      </c>
      <c r="N54">
        <v>1011</v>
      </c>
      <c r="O54" t="s">
        <v>177</v>
      </c>
      <c r="P54" t="s">
        <v>177</v>
      </c>
      <c r="Q54">
        <v>1</v>
      </c>
      <c r="W54">
        <v>0</v>
      </c>
      <c r="X54">
        <v>-628430174</v>
      </c>
      <c r="Y54">
        <v>0.81</v>
      </c>
      <c r="AA54">
        <v>0</v>
      </c>
      <c r="AB54">
        <v>76.81</v>
      </c>
      <c r="AC54">
        <v>14.36</v>
      </c>
      <c r="AD54">
        <v>0</v>
      </c>
      <c r="AE54">
        <v>0</v>
      </c>
      <c r="AF54">
        <v>76.81</v>
      </c>
      <c r="AG54">
        <v>14.36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0.81</v>
      </c>
      <c r="AU54" t="s">
        <v>3</v>
      </c>
      <c r="AV54">
        <v>0</v>
      </c>
      <c r="AW54">
        <v>2</v>
      </c>
      <c r="AX54">
        <v>33985991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Y54*Source!I80</f>
        <v>0.63180000000000003</v>
      </c>
      <c r="CY54">
        <f>AB54</f>
        <v>76.81</v>
      </c>
      <c r="CZ54">
        <f>AF54</f>
        <v>76.81</v>
      </c>
      <c r="DA54">
        <f>AJ54</f>
        <v>1</v>
      </c>
      <c r="DB54">
        <f t="shared" si="5"/>
        <v>62.22</v>
      </c>
      <c r="DC54">
        <f t="shared" si="6"/>
        <v>11.63</v>
      </c>
    </row>
    <row r="55" spans="1:107">
      <c r="A55">
        <f>ROW(Source!A80)</f>
        <v>80</v>
      </c>
      <c r="B55">
        <v>33985563</v>
      </c>
      <c r="C55">
        <v>33985978</v>
      </c>
      <c r="D55">
        <v>30064155</v>
      </c>
      <c r="E55">
        <v>1</v>
      </c>
      <c r="F55">
        <v>1</v>
      </c>
      <c r="G55">
        <v>29983435</v>
      </c>
      <c r="H55">
        <v>2</v>
      </c>
      <c r="I55" t="s">
        <v>217</v>
      </c>
      <c r="J55" t="s">
        <v>218</v>
      </c>
      <c r="K55" t="s">
        <v>219</v>
      </c>
      <c r="L55">
        <v>1367</v>
      </c>
      <c r="N55">
        <v>1011</v>
      </c>
      <c r="O55" t="s">
        <v>177</v>
      </c>
      <c r="P55" t="s">
        <v>177</v>
      </c>
      <c r="Q55">
        <v>1</v>
      </c>
      <c r="W55">
        <v>0</v>
      </c>
      <c r="X55">
        <v>2073069139</v>
      </c>
      <c r="Y55">
        <v>1.74</v>
      </c>
      <c r="AA55">
        <v>0</v>
      </c>
      <c r="AB55">
        <v>0.81</v>
      </c>
      <c r="AC55">
        <v>0.03</v>
      </c>
      <c r="AD55">
        <v>0</v>
      </c>
      <c r="AE55">
        <v>0</v>
      </c>
      <c r="AF55">
        <v>0.81</v>
      </c>
      <c r="AG55">
        <v>0.03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1.74</v>
      </c>
      <c r="AU55" t="s">
        <v>3</v>
      </c>
      <c r="AV55">
        <v>0</v>
      </c>
      <c r="AW55">
        <v>2</v>
      </c>
      <c r="AX55">
        <v>33985993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Y55*Source!I80</f>
        <v>1.3572</v>
      </c>
      <c r="CY55">
        <f>AB55</f>
        <v>0.81</v>
      </c>
      <c r="CZ55">
        <f>AF55</f>
        <v>0.81</v>
      </c>
      <c r="DA55">
        <f>AJ55</f>
        <v>1</v>
      </c>
      <c r="DB55">
        <f t="shared" si="5"/>
        <v>1.41</v>
      </c>
      <c r="DC55">
        <f t="shared" si="6"/>
        <v>0.05</v>
      </c>
    </row>
    <row r="56" spans="1:107">
      <c r="A56">
        <f>ROW(Source!A80)</f>
        <v>80</v>
      </c>
      <c r="B56">
        <v>33985563</v>
      </c>
      <c r="C56">
        <v>33985978</v>
      </c>
      <c r="D56">
        <v>30063337</v>
      </c>
      <c r="E56">
        <v>1</v>
      </c>
      <c r="F56">
        <v>1</v>
      </c>
      <c r="G56">
        <v>29983435</v>
      </c>
      <c r="H56">
        <v>2</v>
      </c>
      <c r="I56" t="s">
        <v>220</v>
      </c>
      <c r="J56" t="s">
        <v>221</v>
      </c>
      <c r="K56" t="s">
        <v>222</v>
      </c>
      <c r="L56">
        <v>1367</v>
      </c>
      <c r="N56">
        <v>1011</v>
      </c>
      <c r="O56" t="s">
        <v>177</v>
      </c>
      <c r="P56" t="s">
        <v>177</v>
      </c>
      <c r="Q56">
        <v>1</v>
      </c>
      <c r="W56">
        <v>0</v>
      </c>
      <c r="X56">
        <v>-266174272</v>
      </c>
      <c r="Y56">
        <v>0.81</v>
      </c>
      <c r="AA56">
        <v>0</v>
      </c>
      <c r="AB56">
        <v>190.93</v>
      </c>
      <c r="AC56">
        <v>18.149999999999999</v>
      </c>
      <c r="AD56">
        <v>0</v>
      </c>
      <c r="AE56">
        <v>0</v>
      </c>
      <c r="AF56">
        <v>190.93</v>
      </c>
      <c r="AG56">
        <v>18.149999999999999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0.81</v>
      </c>
      <c r="AU56" t="s">
        <v>3</v>
      </c>
      <c r="AV56">
        <v>0</v>
      </c>
      <c r="AW56">
        <v>2</v>
      </c>
      <c r="AX56">
        <v>33985992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Y56*Source!I80</f>
        <v>0.63180000000000003</v>
      </c>
      <c r="CY56">
        <f>AB56</f>
        <v>190.93</v>
      </c>
      <c r="CZ56">
        <f>AF56</f>
        <v>190.93</v>
      </c>
      <c r="DA56">
        <f>AJ56</f>
        <v>1</v>
      </c>
      <c r="DB56">
        <f t="shared" si="5"/>
        <v>154.65</v>
      </c>
      <c r="DC56">
        <f t="shared" si="6"/>
        <v>14.7</v>
      </c>
    </row>
    <row r="57" spans="1:107">
      <c r="A57">
        <f>ROW(Source!A80)</f>
        <v>80</v>
      </c>
      <c r="B57">
        <v>33985563</v>
      </c>
      <c r="C57">
        <v>33985978</v>
      </c>
      <c r="D57">
        <v>29983439</v>
      </c>
      <c r="E57">
        <v>29983435</v>
      </c>
      <c r="F57">
        <v>1</v>
      </c>
      <c r="G57">
        <v>29983435</v>
      </c>
      <c r="H57">
        <v>2</v>
      </c>
      <c r="I57" t="s">
        <v>223</v>
      </c>
      <c r="J57" t="s">
        <v>3</v>
      </c>
      <c r="K57" t="s">
        <v>224</v>
      </c>
      <c r="L57">
        <v>1344</v>
      </c>
      <c r="N57">
        <v>1008</v>
      </c>
      <c r="O57" t="s">
        <v>225</v>
      </c>
      <c r="P57" t="s">
        <v>225</v>
      </c>
      <c r="Q57">
        <v>1</v>
      </c>
      <c r="W57">
        <v>0</v>
      </c>
      <c r="X57">
        <v>-1180195794</v>
      </c>
      <c r="Y57">
        <v>0.01</v>
      </c>
      <c r="AA57">
        <v>0</v>
      </c>
      <c r="AB57">
        <v>1</v>
      </c>
      <c r="AC57">
        <v>0</v>
      </c>
      <c r="AD57">
        <v>0</v>
      </c>
      <c r="AE57">
        <v>0</v>
      </c>
      <c r="AF57">
        <v>1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0.01</v>
      </c>
      <c r="AU57" t="s">
        <v>3</v>
      </c>
      <c r="AV57">
        <v>0</v>
      </c>
      <c r="AW57">
        <v>2</v>
      </c>
      <c r="AX57">
        <v>33985994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Y57*Source!I80</f>
        <v>7.8000000000000005E-3</v>
      </c>
      <c r="CY57">
        <f>AB57</f>
        <v>1</v>
      </c>
      <c r="CZ57">
        <f>AF57</f>
        <v>1</v>
      </c>
      <c r="DA57">
        <f>AJ57</f>
        <v>1</v>
      </c>
      <c r="DB57">
        <f t="shared" si="5"/>
        <v>0.01</v>
      </c>
      <c r="DC57">
        <f t="shared" si="6"/>
        <v>0</v>
      </c>
    </row>
    <row r="58" spans="1:107">
      <c r="A58">
        <f>ROW(Source!A80)</f>
        <v>80</v>
      </c>
      <c r="B58">
        <v>33985563</v>
      </c>
      <c r="C58">
        <v>33985978</v>
      </c>
      <c r="D58">
        <v>30041978</v>
      </c>
      <c r="E58">
        <v>1</v>
      </c>
      <c r="F58">
        <v>1</v>
      </c>
      <c r="G58">
        <v>29983435</v>
      </c>
      <c r="H58">
        <v>3</v>
      </c>
      <c r="I58" t="s">
        <v>45</v>
      </c>
      <c r="J58" t="s">
        <v>48</v>
      </c>
      <c r="K58" t="s">
        <v>46</v>
      </c>
      <c r="L58">
        <v>1339</v>
      </c>
      <c r="N58">
        <v>1007</v>
      </c>
      <c r="O58" t="s">
        <v>47</v>
      </c>
      <c r="P58" t="s">
        <v>47</v>
      </c>
      <c r="Q58">
        <v>1</v>
      </c>
      <c r="W58">
        <v>0</v>
      </c>
      <c r="X58">
        <v>2069056849</v>
      </c>
      <c r="Y58">
        <v>0.21</v>
      </c>
      <c r="AA58">
        <v>104.99</v>
      </c>
      <c r="AB58">
        <v>0</v>
      </c>
      <c r="AC58">
        <v>0</v>
      </c>
      <c r="AD58">
        <v>0</v>
      </c>
      <c r="AE58">
        <v>104.99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0.21</v>
      </c>
      <c r="AU58" t="s">
        <v>3</v>
      </c>
      <c r="AV58">
        <v>0</v>
      </c>
      <c r="AW58">
        <v>2</v>
      </c>
      <c r="AX58">
        <v>33985995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Y58*Source!I80</f>
        <v>0.1638</v>
      </c>
      <c r="CY58">
        <f>AA58</f>
        <v>104.99</v>
      </c>
      <c r="CZ58">
        <f>AE58</f>
        <v>104.99</v>
      </c>
      <c r="DA58">
        <f>AI58</f>
        <v>1</v>
      </c>
      <c r="DB58">
        <f t="shared" si="5"/>
        <v>22.05</v>
      </c>
      <c r="DC58">
        <f t="shared" si="6"/>
        <v>0</v>
      </c>
    </row>
    <row r="59" spans="1:107">
      <c r="A59">
        <f>ROW(Source!A80)</f>
        <v>80</v>
      </c>
      <c r="B59">
        <v>33985563</v>
      </c>
      <c r="C59">
        <v>33985978</v>
      </c>
      <c r="D59">
        <v>30057556</v>
      </c>
      <c r="E59">
        <v>1</v>
      </c>
      <c r="F59">
        <v>1</v>
      </c>
      <c r="G59">
        <v>29983435</v>
      </c>
      <c r="H59">
        <v>3</v>
      </c>
      <c r="I59" t="s">
        <v>149</v>
      </c>
      <c r="J59" t="s">
        <v>151</v>
      </c>
      <c r="K59" t="s">
        <v>150</v>
      </c>
      <c r="L59">
        <v>1348</v>
      </c>
      <c r="N59">
        <v>1009</v>
      </c>
      <c r="O59" t="s">
        <v>67</v>
      </c>
      <c r="P59" t="s">
        <v>67</v>
      </c>
      <c r="Q59">
        <v>1000</v>
      </c>
      <c r="W59">
        <v>0</v>
      </c>
      <c r="X59">
        <v>2029920186</v>
      </c>
      <c r="Y59">
        <v>2.25</v>
      </c>
      <c r="AA59">
        <v>3195.72</v>
      </c>
      <c r="AB59">
        <v>0</v>
      </c>
      <c r="AC59">
        <v>0</v>
      </c>
      <c r="AD59">
        <v>0</v>
      </c>
      <c r="AE59">
        <v>438.37</v>
      </c>
      <c r="AF59">
        <v>0</v>
      </c>
      <c r="AG59">
        <v>0</v>
      </c>
      <c r="AH59">
        <v>0</v>
      </c>
      <c r="AI59">
        <v>7.29</v>
      </c>
      <c r="AJ59">
        <v>1</v>
      </c>
      <c r="AK59">
        <v>1</v>
      </c>
      <c r="AL59">
        <v>1</v>
      </c>
      <c r="AN59">
        <v>0</v>
      </c>
      <c r="AO59">
        <v>0</v>
      </c>
      <c r="AP59">
        <v>0</v>
      </c>
      <c r="AQ59">
        <v>0</v>
      </c>
      <c r="AR59">
        <v>0</v>
      </c>
      <c r="AS59" t="s">
        <v>3</v>
      </c>
      <c r="AT59">
        <v>2.25</v>
      </c>
      <c r="AU59" t="s">
        <v>3</v>
      </c>
      <c r="AV59">
        <v>0</v>
      </c>
      <c r="AW59">
        <v>1</v>
      </c>
      <c r="AX59">
        <v>-1</v>
      </c>
      <c r="AY59">
        <v>0</v>
      </c>
      <c r="AZ59">
        <v>0</v>
      </c>
      <c r="BA59" t="s">
        <v>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Y59*Source!I80</f>
        <v>1.7550000000000001</v>
      </c>
      <c r="CY59">
        <f>AA59</f>
        <v>3195.72</v>
      </c>
      <c r="CZ59">
        <f>AE59</f>
        <v>438.37</v>
      </c>
      <c r="DA59">
        <f>AI59</f>
        <v>7.29</v>
      </c>
      <c r="DB59">
        <f t="shared" si="5"/>
        <v>986.33</v>
      </c>
      <c r="DC59">
        <f t="shared" si="6"/>
        <v>0</v>
      </c>
    </row>
    <row r="60" spans="1:107">
      <c r="A60">
        <f>ROW(Source!A80)</f>
        <v>80</v>
      </c>
      <c r="B60">
        <v>33985563</v>
      </c>
      <c r="C60">
        <v>33985978</v>
      </c>
      <c r="D60">
        <v>30059623</v>
      </c>
      <c r="E60">
        <v>1</v>
      </c>
      <c r="F60">
        <v>1</v>
      </c>
      <c r="G60">
        <v>29983435</v>
      </c>
      <c r="H60">
        <v>3</v>
      </c>
      <c r="I60" t="s">
        <v>144</v>
      </c>
      <c r="J60" t="s">
        <v>147</v>
      </c>
      <c r="K60" t="s">
        <v>145</v>
      </c>
      <c r="L60">
        <v>1327</v>
      </c>
      <c r="N60">
        <v>1005</v>
      </c>
      <c r="O60" t="s">
        <v>146</v>
      </c>
      <c r="P60" t="s">
        <v>146</v>
      </c>
      <c r="Q60">
        <v>1</v>
      </c>
      <c r="W60">
        <v>0</v>
      </c>
      <c r="X60">
        <v>-1725340503</v>
      </c>
      <c r="Y60">
        <v>101.55200000000001</v>
      </c>
      <c r="AA60">
        <v>845</v>
      </c>
      <c r="AB60">
        <v>0</v>
      </c>
      <c r="AC60">
        <v>0</v>
      </c>
      <c r="AD60">
        <v>0</v>
      </c>
      <c r="AE60">
        <v>157.65</v>
      </c>
      <c r="AF60">
        <v>0</v>
      </c>
      <c r="AG60">
        <v>0</v>
      </c>
      <c r="AH60">
        <v>0</v>
      </c>
      <c r="AI60">
        <v>5.36</v>
      </c>
      <c r="AJ60">
        <v>1</v>
      </c>
      <c r="AK60">
        <v>1</v>
      </c>
      <c r="AL60">
        <v>1</v>
      </c>
      <c r="AN60">
        <v>0</v>
      </c>
      <c r="AO60">
        <v>0</v>
      </c>
      <c r="AP60">
        <v>0</v>
      </c>
      <c r="AQ60">
        <v>0</v>
      </c>
      <c r="AR60">
        <v>0</v>
      </c>
      <c r="AS60" t="s">
        <v>3</v>
      </c>
      <c r="AT60">
        <v>101.55200000000001</v>
      </c>
      <c r="AU60" t="s">
        <v>3</v>
      </c>
      <c r="AV60">
        <v>0</v>
      </c>
      <c r="AW60">
        <v>1</v>
      </c>
      <c r="AX60">
        <v>-1</v>
      </c>
      <c r="AY60">
        <v>0</v>
      </c>
      <c r="AZ60">
        <v>0</v>
      </c>
      <c r="BA60" t="s">
        <v>3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Y60*Source!I80</f>
        <v>79.210560000000001</v>
      </c>
      <c r="CY60">
        <f>AA60</f>
        <v>845</v>
      </c>
      <c r="CZ60">
        <f>AE60</f>
        <v>157.65</v>
      </c>
      <c r="DA60">
        <f>AI60</f>
        <v>5.36</v>
      </c>
      <c r="DB60">
        <f t="shared" si="5"/>
        <v>16009.67</v>
      </c>
      <c r="DC60">
        <f t="shared" si="6"/>
        <v>0</v>
      </c>
    </row>
    <row r="61" spans="1:107">
      <c r="A61">
        <f>ROW(Source!A80)</f>
        <v>80</v>
      </c>
      <c r="B61">
        <v>33985563</v>
      </c>
      <c r="C61">
        <v>33985978</v>
      </c>
      <c r="D61">
        <v>30061881</v>
      </c>
      <c r="E61">
        <v>1</v>
      </c>
      <c r="F61">
        <v>1</v>
      </c>
      <c r="G61">
        <v>29983435</v>
      </c>
      <c r="H61">
        <v>3</v>
      </c>
      <c r="I61" t="s">
        <v>139</v>
      </c>
      <c r="J61" t="s">
        <v>142</v>
      </c>
      <c r="K61" t="s">
        <v>140</v>
      </c>
      <c r="L61">
        <v>1354</v>
      </c>
      <c r="N61">
        <v>1010</v>
      </c>
      <c r="O61" t="s">
        <v>141</v>
      </c>
      <c r="P61" t="s">
        <v>141</v>
      </c>
      <c r="Q61">
        <v>1</v>
      </c>
      <c r="W61">
        <v>0</v>
      </c>
      <c r="X61">
        <v>-1816805806</v>
      </c>
      <c r="Y61">
        <v>1.5</v>
      </c>
      <c r="AA61">
        <v>792.45</v>
      </c>
      <c r="AB61">
        <v>0</v>
      </c>
      <c r="AC61">
        <v>0</v>
      </c>
      <c r="AD61">
        <v>0</v>
      </c>
      <c r="AE61">
        <v>437.82</v>
      </c>
      <c r="AF61">
        <v>0</v>
      </c>
      <c r="AG61">
        <v>0</v>
      </c>
      <c r="AH61">
        <v>0</v>
      </c>
      <c r="AI61">
        <v>1.81</v>
      </c>
      <c r="AJ61">
        <v>1</v>
      </c>
      <c r="AK61">
        <v>1</v>
      </c>
      <c r="AL61">
        <v>1</v>
      </c>
      <c r="AN61">
        <v>0</v>
      </c>
      <c r="AO61">
        <v>0</v>
      </c>
      <c r="AP61">
        <v>0</v>
      </c>
      <c r="AQ61">
        <v>0</v>
      </c>
      <c r="AR61">
        <v>0</v>
      </c>
      <c r="AS61" t="s">
        <v>3</v>
      </c>
      <c r="AT61">
        <v>1.5</v>
      </c>
      <c r="AU61" t="s">
        <v>3</v>
      </c>
      <c r="AV61">
        <v>0</v>
      </c>
      <c r="AW61">
        <v>1</v>
      </c>
      <c r="AX61">
        <v>-1</v>
      </c>
      <c r="AY61">
        <v>0</v>
      </c>
      <c r="AZ61">
        <v>0</v>
      </c>
      <c r="BA61" t="s">
        <v>3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Y61*Source!I80</f>
        <v>1.17</v>
      </c>
      <c r="CY61">
        <f>AA61</f>
        <v>792.45</v>
      </c>
      <c r="CZ61">
        <f>AE61</f>
        <v>437.82</v>
      </c>
      <c r="DA61">
        <f>AI61</f>
        <v>1.81</v>
      </c>
      <c r="DB61">
        <f t="shared" si="5"/>
        <v>656.73</v>
      </c>
      <c r="DC61">
        <f t="shared" si="6"/>
        <v>0</v>
      </c>
    </row>
    <row r="62" spans="1:107">
      <c r="A62">
        <f>ROW(Source!A119)</f>
        <v>119</v>
      </c>
      <c r="B62">
        <v>33985563</v>
      </c>
      <c r="C62">
        <v>33986002</v>
      </c>
      <c r="D62">
        <v>29983441</v>
      </c>
      <c r="E62">
        <v>29983435</v>
      </c>
      <c r="F62">
        <v>1</v>
      </c>
      <c r="G62">
        <v>29983435</v>
      </c>
      <c r="H62">
        <v>1</v>
      </c>
      <c r="I62" t="s">
        <v>171</v>
      </c>
      <c r="J62" t="s">
        <v>3</v>
      </c>
      <c r="K62" t="s">
        <v>172</v>
      </c>
      <c r="L62">
        <v>1191</v>
      </c>
      <c r="N62">
        <v>1013</v>
      </c>
      <c r="O62" t="s">
        <v>173</v>
      </c>
      <c r="P62" t="s">
        <v>173</v>
      </c>
      <c r="Q62">
        <v>1</v>
      </c>
      <c r="W62">
        <v>0</v>
      </c>
      <c r="X62">
        <v>476480486</v>
      </c>
      <c r="Y62">
        <v>14.4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14.4</v>
      </c>
      <c r="AU62" t="s">
        <v>3</v>
      </c>
      <c r="AV62">
        <v>1</v>
      </c>
      <c r="AW62">
        <v>2</v>
      </c>
      <c r="AX62">
        <v>33986011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Y62*Source!I119</f>
        <v>0.15264</v>
      </c>
      <c r="CY62">
        <f>AD62</f>
        <v>0</v>
      </c>
      <c r="CZ62">
        <f>AH62</f>
        <v>0</v>
      </c>
      <c r="DA62">
        <f>AL62</f>
        <v>1</v>
      </c>
      <c r="DB62">
        <f t="shared" si="5"/>
        <v>0</v>
      </c>
      <c r="DC62">
        <f t="shared" si="6"/>
        <v>0</v>
      </c>
    </row>
    <row r="63" spans="1:107">
      <c r="A63">
        <f>ROW(Source!A119)</f>
        <v>119</v>
      </c>
      <c r="B63">
        <v>33985563</v>
      </c>
      <c r="C63">
        <v>33986002</v>
      </c>
      <c r="D63">
        <v>30063290</v>
      </c>
      <c r="E63">
        <v>1</v>
      </c>
      <c r="F63">
        <v>1</v>
      </c>
      <c r="G63">
        <v>29983435</v>
      </c>
      <c r="H63">
        <v>2</v>
      </c>
      <c r="I63" t="s">
        <v>181</v>
      </c>
      <c r="J63" t="s">
        <v>182</v>
      </c>
      <c r="K63" t="s">
        <v>183</v>
      </c>
      <c r="L63">
        <v>1367</v>
      </c>
      <c r="N63">
        <v>1011</v>
      </c>
      <c r="O63" t="s">
        <v>177</v>
      </c>
      <c r="P63" t="s">
        <v>177</v>
      </c>
      <c r="Q63">
        <v>1</v>
      </c>
      <c r="W63">
        <v>0</v>
      </c>
      <c r="X63">
        <v>1928543733</v>
      </c>
      <c r="Y63">
        <v>1.66</v>
      </c>
      <c r="AA63">
        <v>0</v>
      </c>
      <c r="AB63">
        <v>122.38</v>
      </c>
      <c r="AC63">
        <v>24.51</v>
      </c>
      <c r="AD63">
        <v>0</v>
      </c>
      <c r="AE63">
        <v>0</v>
      </c>
      <c r="AF63">
        <v>116.89</v>
      </c>
      <c r="AG63">
        <v>23.41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1.66</v>
      </c>
      <c r="AU63" t="s">
        <v>3</v>
      </c>
      <c r="AV63">
        <v>0</v>
      </c>
      <c r="AW63">
        <v>2</v>
      </c>
      <c r="AX63">
        <v>33986012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Y63*Source!I119</f>
        <v>1.7596000000000001E-2</v>
      </c>
      <c r="CY63">
        <f>AB63</f>
        <v>122.38</v>
      </c>
      <c r="CZ63">
        <f>AF63</f>
        <v>116.89</v>
      </c>
      <c r="DA63">
        <f>AJ63</f>
        <v>1</v>
      </c>
      <c r="DB63">
        <f t="shared" si="5"/>
        <v>194.04</v>
      </c>
      <c r="DC63">
        <f t="shared" si="6"/>
        <v>38.86</v>
      </c>
    </row>
    <row r="64" spans="1:107">
      <c r="A64">
        <f>ROW(Source!A119)</f>
        <v>119</v>
      </c>
      <c r="B64">
        <v>33985563</v>
      </c>
      <c r="C64">
        <v>33986002</v>
      </c>
      <c r="D64">
        <v>30063515</v>
      </c>
      <c r="E64">
        <v>1</v>
      </c>
      <c r="F64">
        <v>1</v>
      </c>
      <c r="G64">
        <v>29983435</v>
      </c>
      <c r="H64">
        <v>2</v>
      </c>
      <c r="I64" t="s">
        <v>184</v>
      </c>
      <c r="J64" t="s">
        <v>185</v>
      </c>
      <c r="K64" t="s">
        <v>186</v>
      </c>
      <c r="L64">
        <v>1367</v>
      </c>
      <c r="N64">
        <v>1011</v>
      </c>
      <c r="O64" t="s">
        <v>177</v>
      </c>
      <c r="P64" t="s">
        <v>177</v>
      </c>
      <c r="Q64">
        <v>1</v>
      </c>
      <c r="W64">
        <v>0</v>
      </c>
      <c r="X64">
        <v>142191915</v>
      </c>
      <c r="Y64">
        <v>1.66</v>
      </c>
      <c r="AA64">
        <v>0</v>
      </c>
      <c r="AB64">
        <v>65.930000000000007</v>
      </c>
      <c r="AC64">
        <v>6.95</v>
      </c>
      <c r="AD64">
        <v>0</v>
      </c>
      <c r="AE64">
        <v>0</v>
      </c>
      <c r="AF64">
        <v>62.97</v>
      </c>
      <c r="AG64">
        <v>6.64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1.66</v>
      </c>
      <c r="AU64" t="s">
        <v>3</v>
      </c>
      <c r="AV64">
        <v>0</v>
      </c>
      <c r="AW64">
        <v>2</v>
      </c>
      <c r="AX64">
        <v>33986013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Y64*Source!I119</f>
        <v>1.7596000000000001E-2</v>
      </c>
      <c r="CY64">
        <f>AB64</f>
        <v>65.930000000000007</v>
      </c>
      <c r="CZ64">
        <f>AF64</f>
        <v>62.97</v>
      </c>
      <c r="DA64">
        <f>AJ64</f>
        <v>1</v>
      </c>
      <c r="DB64">
        <f t="shared" si="5"/>
        <v>104.53</v>
      </c>
      <c r="DC64">
        <f t="shared" si="6"/>
        <v>11.02</v>
      </c>
    </row>
    <row r="65" spans="1:107">
      <c r="A65">
        <f>ROW(Source!A119)</f>
        <v>119</v>
      </c>
      <c r="B65">
        <v>33985563</v>
      </c>
      <c r="C65">
        <v>33986002</v>
      </c>
      <c r="D65">
        <v>30063518</v>
      </c>
      <c r="E65">
        <v>1</v>
      </c>
      <c r="F65">
        <v>1</v>
      </c>
      <c r="G65">
        <v>29983435</v>
      </c>
      <c r="H65">
        <v>2</v>
      </c>
      <c r="I65" t="s">
        <v>187</v>
      </c>
      <c r="J65" t="s">
        <v>188</v>
      </c>
      <c r="K65" t="s">
        <v>189</v>
      </c>
      <c r="L65">
        <v>1367</v>
      </c>
      <c r="N65">
        <v>1011</v>
      </c>
      <c r="O65" t="s">
        <v>177</v>
      </c>
      <c r="P65" t="s">
        <v>177</v>
      </c>
      <c r="Q65">
        <v>1</v>
      </c>
      <c r="W65">
        <v>0</v>
      </c>
      <c r="X65">
        <v>378346098</v>
      </c>
      <c r="Y65">
        <v>0.65</v>
      </c>
      <c r="AA65">
        <v>0</v>
      </c>
      <c r="AB65">
        <v>147.19</v>
      </c>
      <c r="AC65">
        <v>29.95</v>
      </c>
      <c r="AD65">
        <v>0</v>
      </c>
      <c r="AE65">
        <v>0</v>
      </c>
      <c r="AF65">
        <v>140.58000000000001</v>
      </c>
      <c r="AG65">
        <v>28.61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0.65</v>
      </c>
      <c r="AU65" t="s">
        <v>3</v>
      </c>
      <c r="AV65">
        <v>0</v>
      </c>
      <c r="AW65">
        <v>2</v>
      </c>
      <c r="AX65">
        <v>33986014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Y65*Source!I119</f>
        <v>6.8900000000000003E-3</v>
      </c>
      <c r="CY65">
        <f>AB65</f>
        <v>147.19</v>
      </c>
      <c r="CZ65">
        <f>AF65</f>
        <v>140.58000000000001</v>
      </c>
      <c r="DA65">
        <f>AJ65</f>
        <v>1</v>
      </c>
      <c r="DB65">
        <f t="shared" ref="DB65:DB78" si="10">ROUND(ROUND(AT65*CZ65,2),6)</f>
        <v>91.38</v>
      </c>
      <c r="DC65">
        <f t="shared" ref="DC65:DC78" si="11">ROUND(ROUND(AT65*AG65,2),6)</f>
        <v>18.600000000000001</v>
      </c>
    </row>
    <row r="66" spans="1:107">
      <c r="A66">
        <f>ROW(Source!A119)</f>
        <v>119</v>
      </c>
      <c r="B66">
        <v>33985563</v>
      </c>
      <c r="C66">
        <v>33986002</v>
      </c>
      <c r="D66">
        <v>30063546</v>
      </c>
      <c r="E66">
        <v>1</v>
      </c>
      <c r="F66">
        <v>1</v>
      </c>
      <c r="G66">
        <v>29983435</v>
      </c>
      <c r="H66">
        <v>2</v>
      </c>
      <c r="I66" t="s">
        <v>190</v>
      </c>
      <c r="J66" t="s">
        <v>191</v>
      </c>
      <c r="K66" t="s">
        <v>192</v>
      </c>
      <c r="L66">
        <v>1367</v>
      </c>
      <c r="N66">
        <v>1011</v>
      </c>
      <c r="O66" t="s">
        <v>177</v>
      </c>
      <c r="P66" t="s">
        <v>177</v>
      </c>
      <c r="Q66">
        <v>1</v>
      </c>
      <c r="W66">
        <v>0</v>
      </c>
      <c r="X66">
        <v>856318566</v>
      </c>
      <c r="Y66">
        <v>1.55</v>
      </c>
      <c r="AA66">
        <v>0</v>
      </c>
      <c r="AB66">
        <v>131.01</v>
      </c>
      <c r="AC66">
        <v>25.9</v>
      </c>
      <c r="AD66">
        <v>0</v>
      </c>
      <c r="AE66">
        <v>0</v>
      </c>
      <c r="AF66">
        <v>125.13</v>
      </c>
      <c r="AG66">
        <v>24.74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1.55</v>
      </c>
      <c r="AU66" t="s">
        <v>3</v>
      </c>
      <c r="AV66">
        <v>0</v>
      </c>
      <c r="AW66">
        <v>2</v>
      </c>
      <c r="AX66">
        <v>33986015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Y66*Source!I119</f>
        <v>1.643E-2</v>
      </c>
      <c r="CY66">
        <f>AB66</f>
        <v>131.01</v>
      </c>
      <c r="CZ66">
        <f>AF66</f>
        <v>125.13</v>
      </c>
      <c r="DA66">
        <f>AJ66</f>
        <v>1</v>
      </c>
      <c r="DB66">
        <f t="shared" si="10"/>
        <v>193.95</v>
      </c>
      <c r="DC66">
        <f t="shared" si="11"/>
        <v>38.35</v>
      </c>
    </row>
    <row r="67" spans="1:107">
      <c r="A67">
        <f>ROW(Source!A119)</f>
        <v>119</v>
      </c>
      <c r="B67">
        <v>33985563</v>
      </c>
      <c r="C67">
        <v>33986002</v>
      </c>
      <c r="D67">
        <v>30063508</v>
      </c>
      <c r="E67">
        <v>1</v>
      </c>
      <c r="F67">
        <v>1</v>
      </c>
      <c r="G67">
        <v>29983435</v>
      </c>
      <c r="H67">
        <v>2</v>
      </c>
      <c r="I67" t="s">
        <v>193</v>
      </c>
      <c r="J67" t="s">
        <v>194</v>
      </c>
      <c r="K67" t="s">
        <v>195</v>
      </c>
      <c r="L67">
        <v>1367</v>
      </c>
      <c r="N67">
        <v>1011</v>
      </c>
      <c r="O67" t="s">
        <v>177</v>
      </c>
      <c r="P67" t="s">
        <v>177</v>
      </c>
      <c r="Q67">
        <v>1</v>
      </c>
      <c r="W67">
        <v>0</v>
      </c>
      <c r="X67">
        <v>2023875219</v>
      </c>
      <c r="Y67">
        <v>0.52</v>
      </c>
      <c r="AA67">
        <v>0</v>
      </c>
      <c r="AB67">
        <v>186.39</v>
      </c>
      <c r="AC67">
        <v>24.6</v>
      </c>
      <c r="AD67">
        <v>0</v>
      </c>
      <c r="AE67">
        <v>0</v>
      </c>
      <c r="AF67">
        <v>178.02</v>
      </c>
      <c r="AG67">
        <v>23.5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0.52</v>
      </c>
      <c r="AU67" t="s">
        <v>3</v>
      </c>
      <c r="AV67">
        <v>0</v>
      </c>
      <c r="AW67">
        <v>2</v>
      </c>
      <c r="AX67">
        <v>33986016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Y67*Source!I119</f>
        <v>5.5120000000000004E-3</v>
      </c>
      <c r="CY67">
        <f>AB67</f>
        <v>186.39</v>
      </c>
      <c r="CZ67">
        <f>AF67</f>
        <v>178.02</v>
      </c>
      <c r="DA67">
        <f>AJ67</f>
        <v>1</v>
      </c>
      <c r="DB67">
        <f t="shared" si="10"/>
        <v>92.57</v>
      </c>
      <c r="DC67">
        <f t="shared" si="11"/>
        <v>12.22</v>
      </c>
    </row>
    <row r="68" spans="1:107">
      <c r="A68">
        <f>ROW(Source!A119)</f>
        <v>119</v>
      </c>
      <c r="B68">
        <v>33985563</v>
      </c>
      <c r="C68">
        <v>33986002</v>
      </c>
      <c r="D68">
        <v>30042537</v>
      </c>
      <c r="E68">
        <v>1</v>
      </c>
      <c r="F68">
        <v>1</v>
      </c>
      <c r="G68">
        <v>29983435</v>
      </c>
      <c r="H68">
        <v>3</v>
      </c>
      <c r="I68" t="s">
        <v>196</v>
      </c>
      <c r="J68" t="s">
        <v>197</v>
      </c>
      <c r="K68" t="s">
        <v>198</v>
      </c>
      <c r="L68">
        <v>1339</v>
      </c>
      <c r="N68">
        <v>1007</v>
      </c>
      <c r="O68" t="s">
        <v>47</v>
      </c>
      <c r="P68" t="s">
        <v>47</v>
      </c>
      <c r="Q68">
        <v>1</v>
      </c>
      <c r="W68">
        <v>0</v>
      </c>
      <c r="X68">
        <v>-862991314</v>
      </c>
      <c r="Y68">
        <v>5</v>
      </c>
      <c r="AA68">
        <v>7.08</v>
      </c>
      <c r="AB68">
        <v>0</v>
      </c>
      <c r="AC68">
        <v>0</v>
      </c>
      <c r="AD68">
        <v>0</v>
      </c>
      <c r="AE68">
        <v>7.07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5</v>
      </c>
      <c r="AU68" t="s">
        <v>3</v>
      </c>
      <c r="AV68">
        <v>0</v>
      </c>
      <c r="AW68">
        <v>2</v>
      </c>
      <c r="AX68">
        <v>33986017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Y68*Source!I119</f>
        <v>5.2999999999999999E-2</v>
      </c>
      <c r="CY68">
        <f>AA68</f>
        <v>7.08</v>
      </c>
      <c r="CZ68">
        <f>AE68</f>
        <v>7.07</v>
      </c>
      <c r="DA68">
        <f>AI68</f>
        <v>1</v>
      </c>
      <c r="DB68">
        <f t="shared" si="10"/>
        <v>35.35</v>
      </c>
      <c r="DC68">
        <f t="shared" si="11"/>
        <v>0</v>
      </c>
    </row>
    <row r="69" spans="1:107">
      <c r="A69">
        <f>ROW(Source!A119)</f>
        <v>119</v>
      </c>
      <c r="B69">
        <v>33985563</v>
      </c>
      <c r="C69">
        <v>33986002</v>
      </c>
      <c r="D69">
        <v>30041978</v>
      </c>
      <c r="E69">
        <v>1</v>
      </c>
      <c r="F69">
        <v>1</v>
      </c>
      <c r="G69">
        <v>29983435</v>
      </c>
      <c r="H69">
        <v>3</v>
      </c>
      <c r="I69" t="s">
        <v>45</v>
      </c>
      <c r="J69" t="s">
        <v>48</v>
      </c>
      <c r="K69" t="s">
        <v>46</v>
      </c>
      <c r="L69">
        <v>1339</v>
      </c>
      <c r="N69">
        <v>1007</v>
      </c>
      <c r="O69" t="s">
        <v>47</v>
      </c>
      <c r="P69" t="s">
        <v>47</v>
      </c>
      <c r="Q69">
        <v>1</v>
      </c>
      <c r="W69">
        <v>0</v>
      </c>
      <c r="X69">
        <v>2069056849</v>
      </c>
      <c r="Y69">
        <v>110</v>
      </c>
      <c r="AA69">
        <v>553.35</v>
      </c>
      <c r="AB69">
        <v>0</v>
      </c>
      <c r="AC69">
        <v>0</v>
      </c>
      <c r="AD69">
        <v>0</v>
      </c>
      <c r="AE69">
        <v>104.99</v>
      </c>
      <c r="AF69">
        <v>0</v>
      </c>
      <c r="AG69">
        <v>0</v>
      </c>
      <c r="AH69">
        <v>0</v>
      </c>
      <c r="AI69">
        <v>5.26</v>
      </c>
      <c r="AJ69">
        <v>1</v>
      </c>
      <c r="AK69">
        <v>1</v>
      </c>
      <c r="AL69">
        <v>1</v>
      </c>
      <c r="AN69">
        <v>0</v>
      </c>
      <c r="AO69">
        <v>0</v>
      </c>
      <c r="AP69">
        <v>0</v>
      </c>
      <c r="AQ69">
        <v>0</v>
      </c>
      <c r="AR69">
        <v>0</v>
      </c>
      <c r="AS69" t="s">
        <v>3</v>
      </c>
      <c r="AT69">
        <v>110</v>
      </c>
      <c r="AU69" t="s">
        <v>3</v>
      </c>
      <c r="AV69">
        <v>0</v>
      </c>
      <c r="AW69">
        <v>1</v>
      </c>
      <c r="AX69">
        <v>-1</v>
      </c>
      <c r="AY69">
        <v>0</v>
      </c>
      <c r="AZ69">
        <v>0</v>
      </c>
      <c r="BA69" t="s">
        <v>3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Y69*Source!I119</f>
        <v>1.1659999999999999</v>
      </c>
      <c r="CY69">
        <f>AA69</f>
        <v>553.35</v>
      </c>
      <c r="CZ69">
        <f>AE69</f>
        <v>104.99</v>
      </c>
      <c r="DA69">
        <f>AI69</f>
        <v>5.26</v>
      </c>
      <c r="DB69">
        <f t="shared" si="10"/>
        <v>11548.9</v>
      </c>
      <c r="DC69">
        <f t="shared" si="11"/>
        <v>0</v>
      </c>
    </row>
    <row r="70" spans="1:107">
      <c r="A70">
        <f>ROW(Source!A121)</f>
        <v>121</v>
      </c>
      <c r="B70">
        <v>33985563</v>
      </c>
      <c r="C70">
        <v>33986020</v>
      </c>
      <c r="D70">
        <v>29983441</v>
      </c>
      <c r="E70">
        <v>29983435</v>
      </c>
      <c r="F70">
        <v>1</v>
      </c>
      <c r="G70">
        <v>29983435</v>
      </c>
      <c r="H70">
        <v>1</v>
      </c>
      <c r="I70" t="s">
        <v>171</v>
      </c>
      <c r="J70" t="s">
        <v>3</v>
      </c>
      <c r="K70" t="s">
        <v>172</v>
      </c>
      <c r="L70">
        <v>1191</v>
      </c>
      <c r="N70">
        <v>1013</v>
      </c>
      <c r="O70" t="s">
        <v>173</v>
      </c>
      <c r="P70" t="s">
        <v>173</v>
      </c>
      <c r="Q70">
        <v>1</v>
      </c>
      <c r="W70">
        <v>0</v>
      </c>
      <c r="X70">
        <v>476480486</v>
      </c>
      <c r="Y70">
        <v>63.44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63.44</v>
      </c>
      <c r="AU70" t="s">
        <v>3</v>
      </c>
      <c r="AV70">
        <v>1</v>
      </c>
      <c r="AW70">
        <v>2</v>
      </c>
      <c r="AX70">
        <v>33986030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Y70*Source!I121</f>
        <v>33.623199999999997</v>
      </c>
      <c r="CY70">
        <f>AD70</f>
        <v>0</v>
      </c>
      <c r="CZ70">
        <f>AH70</f>
        <v>0</v>
      </c>
      <c r="DA70">
        <f>AL70</f>
        <v>1</v>
      </c>
      <c r="DB70">
        <f t="shared" si="10"/>
        <v>0</v>
      </c>
      <c r="DC70">
        <f t="shared" si="11"/>
        <v>0</v>
      </c>
    </row>
    <row r="71" spans="1:107">
      <c r="A71">
        <f>ROW(Source!A121)</f>
        <v>121</v>
      </c>
      <c r="B71">
        <v>33985563</v>
      </c>
      <c r="C71">
        <v>33986020</v>
      </c>
      <c r="D71">
        <v>30064095</v>
      </c>
      <c r="E71">
        <v>1</v>
      </c>
      <c r="F71">
        <v>1</v>
      </c>
      <c r="G71">
        <v>29983435</v>
      </c>
      <c r="H71">
        <v>2</v>
      </c>
      <c r="I71" t="s">
        <v>214</v>
      </c>
      <c r="J71" t="s">
        <v>215</v>
      </c>
      <c r="K71" t="s">
        <v>216</v>
      </c>
      <c r="L71">
        <v>1367</v>
      </c>
      <c r="N71">
        <v>1011</v>
      </c>
      <c r="O71" t="s">
        <v>177</v>
      </c>
      <c r="P71" t="s">
        <v>177</v>
      </c>
      <c r="Q71">
        <v>1</v>
      </c>
      <c r="W71">
        <v>0</v>
      </c>
      <c r="X71">
        <v>-628430174</v>
      </c>
      <c r="Y71">
        <v>0.14000000000000001</v>
      </c>
      <c r="AA71">
        <v>0</v>
      </c>
      <c r="AB71">
        <v>80.42</v>
      </c>
      <c r="AC71">
        <v>15.03</v>
      </c>
      <c r="AD71">
        <v>0</v>
      </c>
      <c r="AE71">
        <v>0</v>
      </c>
      <c r="AF71">
        <v>76.81</v>
      </c>
      <c r="AG71">
        <v>14.36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0.14000000000000001</v>
      </c>
      <c r="AU71" t="s">
        <v>3</v>
      </c>
      <c r="AV71">
        <v>0</v>
      </c>
      <c r="AW71">
        <v>2</v>
      </c>
      <c r="AX71">
        <v>33986031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Y71*Source!I121</f>
        <v>7.4200000000000016E-2</v>
      </c>
      <c r="CY71">
        <f>AB71</f>
        <v>80.42</v>
      </c>
      <c r="CZ71">
        <f>AF71</f>
        <v>76.81</v>
      </c>
      <c r="DA71">
        <f>AJ71</f>
        <v>1</v>
      </c>
      <c r="DB71">
        <f t="shared" si="10"/>
        <v>10.75</v>
      </c>
      <c r="DC71">
        <f t="shared" si="11"/>
        <v>2.0099999999999998</v>
      </c>
    </row>
    <row r="72" spans="1:107">
      <c r="A72">
        <f>ROW(Source!A121)</f>
        <v>121</v>
      </c>
      <c r="B72">
        <v>33985563</v>
      </c>
      <c r="C72">
        <v>33986020</v>
      </c>
      <c r="D72">
        <v>30063337</v>
      </c>
      <c r="E72">
        <v>1</v>
      </c>
      <c r="F72">
        <v>1</v>
      </c>
      <c r="G72">
        <v>29983435</v>
      </c>
      <c r="H72">
        <v>2</v>
      </c>
      <c r="I72" t="s">
        <v>220</v>
      </c>
      <c r="J72" t="s">
        <v>221</v>
      </c>
      <c r="K72" t="s">
        <v>222</v>
      </c>
      <c r="L72">
        <v>1367</v>
      </c>
      <c r="N72">
        <v>1011</v>
      </c>
      <c r="O72" t="s">
        <v>177</v>
      </c>
      <c r="P72" t="s">
        <v>177</v>
      </c>
      <c r="Q72">
        <v>1</v>
      </c>
      <c r="W72">
        <v>0</v>
      </c>
      <c r="X72">
        <v>-266174272</v>
      </c>
      <c r="Y72">
        <v>0.14000000000000001</v>
      </c>
      <c r="AA72">
        <v>0</v>
      </c>
      <c r="AB72">
        <v>199.9</v>
      </c>
      <c r="AC72">
        <v>19</v>
      </c>
      <c r="AD72">
        <v>0</v>
      </c>
      <c r="AE72">
        <v>0</v>
      </c>
      <c r="AF72">
        <v>190.93</v>
      </c>
      <c r="AG72">
        <v>18.149999999999999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0.14000000000000001</v>
      </c>
      <c r="AU72" t="s">
        <v>3</v>
      </c>
      <c r="AV72">
        <v>0</v>
      </c>
      <c r="AW72">
        <v>2</v>
      </c>
      <c r="AX72">
        <v>33986032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Y72*Source!I121</f>
        <v>7.4200000000000016E-2</v>
      </c>
      <c r="CY72">
        <f>AB72</f>
        <v>199.9</v>
      </c>
      <c r="CZ72">
        <f>AF72</f>
        <v>190.93</v>
      </c>
      <c r="DA72">
        <f>AJ72</f>
        <v>1</v>
      </c>
      <c r="DB72">
        <f t="shared" si="10"/>
        <v>26.73</v>
      </c>
      <c r="DC72">
        <f t="shared" si="11"/>
        <v>2.54</v>
      </c>
    </row>
    <row r="73" spans="1:107">
      <c r="A73">
        <f>ROW(Source!A121)</f>
        <v>121</v>
      </c>
      <c r="B73">
        <v>33985563</v>
      </c>
      <c r="C73">
        <v>33986020</v>
      </c>
      <c r="D73">
        <v>30063432</v>
      </c>
      <c r="E73">
        <v>1</v>
      </c>
      <c r="F73">
        <v>1</v>
      </c>
      <c r="G73">
        <v>29983435</v>
      </c>
      <c r="H73">
        <v>2</v>
      </c>
      <c r="I73" t="s">
        <v>226</v>
      </c>
      <c r="J73" t="s">
        <v>227</v>
      </c>
      <c r="K73" t="s">
        <v>228</v>
      </c>
      <c r="L73">
        <v>1367</v>
      </c>
      <c r="N73">
        <v>1011</v>
      </c>
      <c r="O73" t="s">
        <v>177</v>
      </c>
      <c r="P73" t="s">
        <v>177</v>
      </c>
      <c r="Q73">
        <v>1</v>
      </c>
      <c r="W73">
        <v>0</v>
      </c>
      <c r="X73">
        <v>482200787</v>
      </c>
      <c r="Y73">
        <v>0.22</v>
      </c>
      <c r="AA73">
        <v>0</v>
      </c>
      <c r="AB73">
        <v>76.430000000000007</v>
      </c>
      <c r="AC73">
        <v>17.690000000000001</v>
      </c>
      <c r="AD73">
        <v>0</v>
      </c>
      <c r="AE73">
        <v>0</v>
      </c>
      <c r="AF73">
        <v>73</v>
      </c>
      <c r="AG73">
        <v>16.899999999999999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0.22</v>
      </c>
      <c r="AU73" t="s">
        <v>3</v>
      </c>
      <c r="AV73">
        <v>0</v>
      </c>
      <c r="AW73">
        <v>2</v>
      </c>
      <c r="AX73">
        <v>33986033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Y73*Source!I121</f>
        <v>0.11660000000000001</v>
      </c>
      <c r="CY73">
        <f>AB73</f>
        <v>76.430000000000007</v>
      </c>
      <c r="CZ73">
        <f>AF73</f>
        <v>73</v>
      </c>
      <c r="DA73">
        <f>AJ73</f>
        <v>1</v>
      </c>
      <c r="DB73">
        <f t="shared" si="10"/>
        <v>16.059999999999999</v>
      </c>
      <c r="DC73">
        <f t="shared" si="11"/>
        <v>3.72</v>
      </c>
    </row>
    <row r="74" spans="1:107">
      <c r="A74">
        <f>ROW(Source!A121)</f>
        <v>121</v>
      </c>
      <c r="B74">
        <v>33985563</v>
      </c>
      <c r="C74">
        <v>33986020</v>
      </c>
      <c r="D74">
        <v>30042524</v>
      </c>
      <c r="E74">
        <v>1</v>
      </c>
      <c r="F74">
        <v>1</v>
      </c>
      <c r="G74">
        <v>29983435</v>
      </c>
      <c r="H74">
        <v>3</v>
      </c>
      <c r="I74" t="s">
        <v>229</v>
      </c>
      <c r="J74" t="s">
        <v>230</v>
      </c>
      <c r="K74" t="s">
        <v>231</v>
      </c>
      <c r="L74">
        <v>1348</v>
      </c>
      <c r="N74">
        <v>1009</v>
      </c>
      <c r="O74" t="s">
        <v>67</v>
      </c>
      <c r="P74" t="s">
        <v>67</v>
      </c>
      <c r="Q74">
        <v>1000</v>
      </c>
      <c r="W74">
        <v>0</v>
      </c>
      <c r="X74">
        <v>563176784</v>
      </c>
      <c r="Y74">
        <v>1E-3</v>
      </c>
      <c r="AA74">
        <v>6717.06</v>
      </c>
      <c r="AB74">
        <v>0</v>
      </c>
      <c r="AC74">
        <v>0</v>
      </c>
      <c r="AD74">
        <v>0</v>
      </c>
      <c r="AE74">
        <v>6521.42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1E-3</v>
      </c>
      <c r="AU74" t="s">
        <v>3</v>
      </c>
      <c r="AV74">
        <v>0</v>
      </c>
      <c r="AW74">
        <v>2</v>
      </c>
      <c r="AX74">
        <v>33986034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Y74*Source!I121</f>
        <v>5.3000000000000009E-4</v>
      </c>
      <c r="CY74">
        <f>AA74</f>
        <v>6717.06</v>
      </c>
      <c r="CZ74">
        <f>AE74</f>
        <v>6521.42</v>
      </c>
      <c r="DA74">
        <f>AI74</f>
        <v>1</v>
      </c>
      <c r="DB74">
        <f t="shared" si="10"/>
        <v>6.52</v>
      </c>
      <c r="DC74">
        <f t="shared" si="11"/>
        <v>0</v>
      </c>
    </row>
    <row r="75" spans="1:107">
      <c r="A75">
        <f>ROW(Source!A121)</f>
        <v>121</v>
      </c>
      <c r="B75">
        <v>33985563</v>
      </c>
      <c r="C75">
        <v>33986020</v>
      </c>
      <c r="D75">
        <v>30042430</v>
      </c>
      <c r="E75">
        <v>1</v>
      </c>
      <c r="F75">
        <v>1</v>
      </c>
      <c r="G75">
        <v>29983435</v>
      </c>
      <c r="H75">
        <v>3</v>
      </c>
      <c r="I75" t="s">
        <v>232</v>
      </c>
      <c r="J75" t="s">
        <v>233</v>
      </c>
      <c r="K75" t="s">
        <v>234</v>
      </c>
      <c r="L75">
        <v>1339</v>
      </c>
      <c r="N75">
        <v>1007</v>
      </c>
      <c r="O75" t="s">
        <v>47</v>
      </c>
      <c r="P75" t="s">
        <v>47</v>
      </c>
      <c r="Q75">
        <v>1</v>
      </c>
      <c r="W75">
        <v>0</v>
      </c>
      <c r="X75">
        <v>-164923881</v>
      </c>
      <c r="Y75">
        <v>0.17</v>
      </c>
      <c r="AA75">
        <v>1883.42</v>
      </c>
      <c r="AB75">
        <v>0</v>
      </c>
      <c r="AC75">
        <v>0</v>
      </c>
      <c r="AD75">
        <v>0</v>
      </c>
      <c r="AE75">
        <v>1828.56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0.17</v>
      </c>
      <c r="AU75" t="s">
        <v>3</v>
      </c>
      <c r="AV75">
        <v>0</v>
      </c>
      <c r="AW75">
        <v>2</v>
      </c>
      <c r="AX75">
        <v>33986035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Y75*Source!I121</f>
        <v>9.0100000000000013E-2</v>
      </c>
      <c r="CY75">
        <f>AA75</f>
        <v>1883.42</v>
      </c>
      <c r="CZ75">
        <f>AE75</f>
        <v>1828.56</v>
      </c>
      <c r="DA75">
        <f>AI75</f>
        <v>1</v>
      </c>
      <c r="DB75">
        <f t="shared" si="10"/>
        <v>310.86</v>
      </c>
      <c r="DC75">
        <f t="shared" si="11"/>
        <v>0</v>
      </c>
    </row>
    <row r="76" spans="1:107">
      <c r="A76">
        <f>ROW(Source!A121)</f>
        <v>121</v>
      </c>
      <c r="B76">
        <v>33985563</v>
      </c>
      <c r="C76">
        <v>33986020</v>
      </c>
      <c r="D76">
        <v>30057410</v>
      </c>
      <c r="E76">
        <v>1</v>
      </c>
      <c r="F76">
        <v>1</v>
      </c>
      <c r="G76">
        <v>29983435</v>
      </c>
      <c r="H76">
        <v>3</v>
      </c>
      <c r="I76" t="s">
        <v>235</v>
      </c>
      <c r="J76" t="s">
        <v>236</v>
      </c>
      <c r="K76" t="s">
        <v>237</v>
      </c>
      <c r="L76">
        <v>1339</v>
      </c>
      <c r="N76">
        <v>1007</v>
      </c>
      <c r="O76" t="s">
        <v>47</v>
      </c>
      <c r="P76" t="s">
        <v>47</v>
      </c>
      <c r="Q76">
        <v>1</v>
      </c>
      <c r="W76">
        <v>0</v>
      </c>
      <c r="X76">
        <v>-758282629</v>
      </c>
      <c r="Y76">
        <v>4.8</v>
      </c>
      <c r="AA76">
        <v>726.04</v>
      </c>
      <c r="AB76">
        <v>0</v>
      </c>
      <c r="AC76">
        <v>0</v>
      </c>
      <c r="AD76">
        <v>0</v>
      </c>
      <c r="AE76">
        <v>704.89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4.8</v>
      </c>
      <c r="AU76" t="s">
        <v>3</v>
      </c>
      <c r="AV76">
        <v>0</v>
      </c>
      <c r="AW76">
        <v>2</v>
      </c>
      <c r="AX76">
        <v>33986036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Y76*Source!I121</f>
        <v>2.544</v>
      </c>
      <c r="CY76">
        <f>AA76</f>
        <v>726.04</v>
      </c>
      <c r="CZ76">
        <f>AE76</f>
        <v>704.89</v>
      </c>
      <c r="DA76">
        <f>AI76</f>
        <v>1</v>
      </c>
      <c r="DB76">
        <f t="shared" si="10"/>
        <v>3383.47</v>
      </c>
      <c r="DC76">
        <f t="shared" si="11"/>
        <v>0</v>
      </c>
    </row>
    <row r="77" spans="1:107">
      <c r="A77">
        <f>ROW(Source!A121)</f>
        <v>121</v>
      </c>
      <c r="B77">
        <v>33985563</v>
      </c>
      <c r="C77">
        <v>33986020</v>
      </c>
      <c r="D77">
        <v>30057544</v>
      </c>
      <c r="E77">
        <v>1</v>
      </c>
      <c r="F77">
        <v>1</v>
      </c>
      <c r="G77">
        <v>29983435</v>
      </c>
      <c r="H77">
        <v>3</v>
      </c>
      <c r="I77" t="s">
        <v>238</v>
      </c>
      <c r="J77" t="s">
        <v>239</v>
      </c>
      <c r="K77" t="s">
        <v>240</v>
      </c>
      <c r="L77">
        <v>1339</v>
      </c>
      <c r="N77">
        <v>1007</v>
      </c>
      <c r="O77" t="s">
        <v>47</v>
      </c>
      <c r="P77" t="s">
        <v>47</v>
      </c>
      <c r="Q77">
        <v>1</v>
      </c>
      <c r="W77">
        <v>0</v>
      </c>
      <c r="X77">
        <v>-718781615</v>
      </c>
      <c r="Y77">
        <v>0.02</v>
      </c>
      <c r="AA77">
        <v>464.67</v>
      </c>
      <c r="AB77">
        <v>0</v>
      </c>
      <c r="AC77">
        <v>0</v>
      </c>
      <c r="AD77">
        <v>0</v>
      </c>
      <c r="AE77">
        <v>451.14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0.02</v>
      </c>
      <c r="AU77" t="s">
        <v>3</v>
      </c>
      <c r="AV77">
        <v>0</v>
      </c>
      <c r="AW77">
        <v>2</v>
      </c>
      <c r="AX77">
        <v>33986037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Y77*Source!I121</f>
        <v>1.06E-2</v>
      </c>
      <c r="CY77">
        <f>AA77</f>
        <v>464.67</v>
      </c>
      <c r="CZ77">
        <f>AE77</f>
        <v>451.14</v>
      </c>
      <c r="DA77">
        <f>AI77</f>
        <v>1</v>
      </c>
      <c r="DB77">
        <f t="shared" si="10"/>
        <v>9.02</v>
      </c>
      <c r="DC77">
        <f t="shared" si="11"/>
        <v>0</v>
      </c>
    </row>
    <row r="78" spans="1:107">
      <c r="A78">
        <f>ROW(Source!A121)</f>
        <v>121</v>
      </c>
      <c r="B78">
        <v>33985563</v>
      </c>
      <c r="C78">
        <v>33986020</v>
      </c>
      <c r="D78">
        <v>30059518</v>
      </c>
      <c r="E78">
        <v>1</v>
      </c>
      <c r="F78">
        <v>1</v>
      </c>
      <c r="G78">
        <v>29983435</v>
      </c>
      <c r="H78">
        <v>3</v>
      </c>
      <c r="I78" t="s">
        <v>163</v>
      </c>
      <c r="J78" t="s">
        <v>165</v>
      </c>
      <c r="K78" t="s">
        <v>164</v>
      </c>
      <c r="L78">
        <v>1339</v>
      </c>
      <c r="N78">
        <v>1007</v>
      </c>
      <c r="O78" t="s">
        <v>47</v>
      </c>
      <c r="P78" t="s">
        <v>47</v>
      </c>
      <c r="Q78">
        <v>1</v>
      </c>
      <c r="W78">
        <v>0</v>
      </c>
      <c r="X78">
        <v>889553512</v>
      </c>
      <c r="Y78">
        <v>2.8999999999999998E-3</v>
      </c>
      <c r="AA78">
        <v>9288.52</v>
      </c>
      <c r="AB78">
        <v>0</v>
      </c>
      <c r="AC78">
        <v>0</v>
      </c>
      <c r="AD78">
        <v>0</v>
      </c>
      <c r="AE78">
        <v>2385.71</v>
      </c>
      <c r="AF78">
        <v>0</v>
      </c>
      <c r="AG78">
        <v>0</v>
      </c>
      <c r="AH78">
        <v>0</v>
      </c>
      <c r="AI78">
        <v>3.78</v>
      </c>
      <c r="AJ78">
        <v>1</v>
      </c>
      <c r="AK78">
        <v>1</v>
      </c>
      <c r="AL78">
        <v>1</v>
      </c>
      <c r="AN78">
        <v>0</v>
      </c>
      <c r="AO78">
        <v>0</v>
      </c>
      <c r="AP78">
        <v>0</v>
      </c>
      <c r="AQ78">
        <v>0</v>
      </c>
      <c r="AR78">
        <v>0</v>
      </c>
      <c r="AS78" t="s">
        <v>3</v>
      </c>
      <c r="AT78">
        <v>2.8999999999999998E-3</v>
      </c>
      <c r="AU78" t="s">
        <v>3</v>
      </c>
      <c r="AV78">
        <v>0</v>
      </c>
      <c r="AW78">
        <v>1</v>
      </c>
      <c r="AX78">
        <v>-1</v>
      </c>
      <c r="AY78">
        <v>0</v>
      </c>
      <c r="AZ78">
        <v>0</v>
      </c>
      <c r="BA78" t="s">
        <v>3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Y78*Source!I121</f>
        <v>1.537E-3</v>
      </c>
      <c r="CY78">
        <f>AA78</f>
        <v>9288.52</v>
      </c>
      <c r="CZ78">
        <f>AE78</f>
        <v>2385.71</v>
      </c>
      <c r="DA78">
        <f>AI78</f>
        <v>3.78</v>
      </c>
      <c r="DB78">
        <f t="shared" si="10"/>
        <v>6.92</v>
      </c>
      <c r="DC78">
        <f t="shared" si="11"/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R78"/>
  <sheetViews>
    <sheetView workbookViewId="0"/>
  </sheetViews>
  <sheetFormatPr defaultColWidth="9.109375" defaultRowHeight="13.2"/>
  <cols>
    <col min="1" max="256" width="9.109375" customWidth="1"/>
  </cols>
  <sheetData>
    <row r="1" spans="1:44">
      <c r="A1">
        <f>ROW(Source!A28)</f>
        <v>28</v>
      </c>
      <c r="B1">
        <v>33985863</v>
      </c>
      <c r="C1">
        <v>33985859</v>
      </c>
      <c r="D1">
        <v>29983441</v>
      </c>
      <c r="E1">
        <v>29983435</v>
      </c>
      <c r="F1">
        <v>1</v>
      </c>
      <c r="G1">
        <v>29983435</v>
      </c>
      <c r="H1">
        <v>1</v>
      </c>
      <c r="I1" t="s">
        <v>171</v>
      </c>
      <c r="J1" t="s">
        <v>3</v>
      </c>
      <c r="K1" t="s">
        <v>172</v>
      </c>
      <c r="L1">
        <v>1191</v>
      </c>
      <c r="N1">
        <v>1013</v>
      </c>
      <c r="O1" t="s">
        <v>173</v>
      </c>
      <c r="P1" t="s">
        <v>173</v>
      </c>
      <c r="Q1">
        <v>1</v>
      </c>
      <c r="X1">
        <v>1.38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1</v>
      </c>
      <c r="AF1" t="s">
        <v>3</v>
      </c>
      <c r="AG1">
        <v>1.38</v>
      </c>
      <c r="AH1">
        <v>2</v>
      </c>
      <c r="AI1">
        <v>33985860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>
      <c r="A2">
        <f>ROW(Source!A28)</f>
        <v>28</v>
      </c>
      <c r="B2">
        <v>33985864</v>
      </c>
      <c r="C2">
        <v>33985859</v>
      </c>
      <c r="D2">
        <v>30063245</v>
      </c>
      <c r="E2">
        <v>1</v>
      </c>
      <c r="F2">
        <v>1</v>
      </c>
      <c r="G2">
        <v>29983435</v>
      </c>
      <c r="H2">
        <v>2</v>
      </c>
      <c r="I2" t="s">
        <v>174</v>
      </c>
      <c r="J2" t="s">
        <v>175</v>
      </c>
      <c r="K2" t="s">
        <v>176</v>
      </c>
      <c r="L2">
        <v>1367</v>
      </c>
      <c r="N2">
        <v>1011</v>
      </c>
      <c r="O2" t="s">
        <v>177</v>
      </c>
      <c r="P2" t="s">
        <v>177</v>
      </c>
      <c r="Q2">
        <v>1</v>
      </c>
      <c r="X2">
        <v>3.9874999999999998</v>
      </c>
      <c r="Y2">
        <v>0</v>
      </c>
      <c r="Z2">
        <v>162.4</v>
      </c>
      <c r="AA2">
        <v>28.6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3.9874999999999998</v>
      </c>
      <c r="AH2">
        <v>2</v>
      </c>
      <c r="AI2">
        <v>33985861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>
      <c r="A3">
        <f>ROW(Source!A28)</f>
        <v>28</v>
      </c>
      <c r="B3">
        <v>33985865</v>
      </c>
      <c r="C3">
        <v>33985859</v>
      </c>
      <c r="D3">
        <v>30063270</v>
      </c>
      <c r="E3">
        <v>1</v>
      </c>
      <c r="F3">
        <v>1</v>
      </c>
      <c r="G3">
        <v>29983435</v>
      </c>
      <c r="H3">
        <v>2</v>
      </c>
      <c r="I3" t="s">
        <v>178</v>
      </c>
      <c r="J3" t="s">
        <v>179</v>
      </c>
      <c r="K3" t="s">
        <v>180</v>
      </c>
      <c r="L3">
        <v>1367</v>
      </c>
      <c r="N3">
        <v>1011</v>
      </c>
      <c r="O3" t="s">
        <v>177</v>
      </c>
      <c r="P3" t="s">
        <v>177</v>
      </c>
      <c r="Q3">
        <v>1</v>
      </c>
      <c r="X3">
        <v>0.997</v>
      </c>
      <c r="Y3">
        <v>0</v>
      </c>
      <c r="Z3">
        <v>110.31</v>
      </c>
      <c r="AA3">
        <v>26.52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0.997</v>
      </c>
      <c r="AH3">
        <v>2</v>
      </c>
      <c r="AI3">
        <v>33985862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>
      <c r="A4">
        <f>ROW(Source!A29)</f>
        <v>29</v>
      </c>
      <c r="B4">
        <v>33985868</v>
      </c>
      <c r="C4">
        <v>33985866</v>
      </c>
      <c r="D4">
        <v>29983441</v>
      </c>
      <c r="E4">
        <v>29983435</v>
      </c>
      <c r="F4">
        <v>1</v>
      </c>
      <c r="G4">
        <v>29983435</v>
      </c>
      <c r="H4">
        <v>1</v>
      </c>
      <c r="I4" t="s">
        <v>171</v>
      </c>
      <c r="J4" t="s">
        <v>3</v>
      </c>
      <c r="K4" t="s">
        <v>172</v>
      </c>
      <c r="L4">
        <v>1191</v>
      </c>
      <c r="N4">
        <v>1013</v>
      </c>
      <c r="O4" t="s">
        <v>173</v>
      </c>
      <c r="P4" t="s">
        <v>173</v>
      </c>
      <c r="Q4">
        <v>1</v>
      </c>
      <c r="X4">
        <v>192.7</v>
      </c>
      <c r="Y4">
        <v>0</v>
      </c>
      <c r="Z4">
        <v>0</v>
      </c>
      <c r="AA4">
        <v>0</v>
      </c>
      <c r="AB4">
        <v>0</v>
      </c>
      <c r="AC4">
        <v>0</v>
      </c>
      <c r="AD4">
        <v>1</v>
      </c>
      <c r="AE4">
        <v>1</v>
      </c>
      <c r="AF4" t="s">
        <v>3</v>
      </c>
      <c r="AG4">
        <v>192.7</v>
      </c>
      <c r="AH4">
        <v>2</v>
      </c>
      <c r="AI4">
        <v>33985867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>
      <c r="A5">
        <f>ROW(Source!A30)</f>
        <v>30</v>
      </c>
      <c r="B5">
        <v>33985873</v>
      </c>
      <c r="C5">
        <v>33985869</v>
      </c>
      <c r="D5">
        <v>29983441</v>
      </c>
      <c r="E5">
        <v>29983435</v>
      </c>
      <c r="F5">
        <v>1</v>
      </c>
      <c r="G5">
        <v>29983435</v>
      </c>
      <c r="H5">
        <v>1</v>
      </c>
      <c r="I5" t="s">
        <v>171</v>
      </c>
      <c r="J5" t="s">
        <v>3</v>
      </c>
      <c r="K5" t="s">
        <v>172</v>
      </c>
      <c r="L5">
        <v>1191</v>
      </c>
      <c r="N5">
        <v>1013</v>
      </c>
      <c r="O5" t="s">
        <v>173</v>
      </c>
      <c r="P5" t="s">
        <v>173</v>
      </c>
      <c r="Q5">
        <v>1</v>
      </c>
      <c r="X5">
        <v>1.38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1</v>
      </c>
      <c r="AF5" t="s">
        <v>3</v>
      </c>
      <c r="AG5">
        <v>1.38</v>
      </c>
      <c r="AH5">
        <v>2</v>
      </c>
      <c r="AI5">
        <v>33985870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>
      <c r="A6">
        <f>ROW(Source!A30)</f>
        <v>30</v>
      </c>
      <c r="B6">
        <v>33985874</v>
      </c>
      <c r="C6">
        <v>33985869</v>
      </c>
      <c r="D6">
        <v>30063245</v>
      </c>
      <c r="E6">
        <v>1</v>
      </c>
      <c r="F6">
        <v>1</v>
      </c>
      <c r="G6">
        <v>29983435</v>
      </c>
      <c r="H6">
        <v>2</v>
      </c>
      <c r="I6" t="s">
        <v>174</v>
      </c>
      <c r="J6" t="s">
        <v>175</v>
      </c>
      <c r="K6" t="s">
        <v>176</v>
      </c>
      <c r="L6">
        <v>1367</v>
      </c>
      <c r="N6">
        <v>1011</v>
      </c>
      <c r="O6" t="s">
        <v>177</v>
      </c>
      <c r="P6" t="s">
        <v>177</v>
      </c>
      <c r="Q6">
        <v>1</v>
      </c>
      <c r="X6">
        <v>3.9874999999999998</v>
      </c>
      <c r="Y6">
        <v>0</v>
      </c>
      <c r="Z6">
        <v>162.4</v>
      </c>
      <c r="AA6">
        <v>28.6</v>
      </c>
      <c r="AB6">
        <v>0</v>
      </c>
      <c r="AC6">
        <v>0</v>
      </c>
      <c r="AD6">
        <v>1</v>
      </c>
      <c r="AE6">
        <v>0</v>
      </c>
      <c r="AF6" t="s">
        <v>3</v>
      </c>
      <c r="AG6">
        <v>3.9874999999999998</v>
      </c>
      <c r="AH6">
        <v>2</v>
      </c>
      <c r="AI6">
        <v>33985871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>
      <c r="A7">
        <f>ROW(Source!A30)</f>
        <v>30</v>
      </c>
      <c r="B7">
        <v>33985875</v>
      </c>
      <c r="C7">
        <v>33985869</v>
      </c>
      <c r="D7">
        <v>30063270</v>
      </c>
      <c r="E7">
        <v>1</v>
      </c>
      <c r="F7">
        <v>1</v>
      </c>
      <c r="G7">
        <v>29983435</v>
      </c>
      <c r="H7">
        <v>2</v>
      </c>
      <c r="I7" t="s">
        <v>178</v>
      </c>
      <c r="J7" t="s">
        <v>179</v>
      </c>
      <c r="K7" t="s">
        <v>180</v>
      </c>
      <c r="L7">
        <v>1367</v>
      </c>
      <c r="N7">
        <v>1011</v>
      </c>
      <c r="O7" t="s">
        <v>177</v>
      </c>
      <c r="P7" t="s">
        <v>177</v>
      </c>
      <c r="Q7">
        <v>1</v>
      </c>
      <c r="X7">
        <v>0.997</v>
      </c>
      <c r="Y7">
        <v>0</v>
      </c>
      <c r="Z7">
        <v>110.31</v>
      </c>
      <c r="AA7">
        <v>26.52</v>
      </c>
      <c r="AB7">
        <v>0</v>
      </c>
      <c r="AC7">
        <v>0</v>
      </c>
      <c r="AD7">
        <v>1</v>
      </c>
      <c r="AE7">
        <v>0</v>
      </c>
      <c r="AF7" t="s">
        <v>3</v>
      </c>
      <c r="AG7">
        <v>0.997</v>
      </c>
      <c r="AH7">
        <v>2</v>
      </c>
      <c r="AI7">
        <v>33985872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>
      <c r="A8">
        <f>ROW(Source!A31)</f>
        <v>31</v>
      </c>
      <c r="B8">
        <v>33985878</v>
      </c>
      <c r="C8">
        <v>33985876</v>
      </c>
      <c r="D8">
        <v>29983441</v>
      </c>
      <c r="E8">
        <v>29983435</v>
      </c>
      <c r="F8">
        <v>1</v>
      </c>
      <c r="G8">
        <v>29983435</v>
      </c>
      <c r="H8">
        <v>1</v>
      </c>
      <c r="I8" t="s">
        <v>171</v>
      </c>
      <c r="J8" t="s">
        <v>3</v>
      </c>
      <c r="K8" t="s">
        <v>172</v>
      </c>
      <c r="L8">
        <v>1191</v>
      </c>
      <c r="N8">
        <v>1013</v>
      </c>
      <c r="O8" t="s">
        <v>173</v>
      </c>
      <c r="P8" t="s">
        <v>173</v>
      </c>
      <c r="Q8">
        <v>1</v>
      </c>
      <c r="X8">
        <v>83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1</v>
      </c>
      <c r="AF8" t="s">
        <v>3</v>
      </c>
      <c r="AG8">
        <v>83</v>
      </c>
      <c r="AH8">
        <v>2</v>
      </c>
      <c r="AI8">
        <v>33985877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>
      <c r="A9">
        <f>ROW(Source!A32)</f>
        <v>32</v>
      </c>
      <c r="B9">
        <v>33985888</v>
      </c>
      <c r="C9">
        <v>33985879</v>
      </c>
      <c r="D9">
        <v>29983441</v>
      </c>
      <c r="E9">
        <v>29983435</v>
      </c>
      <c r="F9">
        <v>1</v>
      </c>
      <c r="G9">
        <v>29983435</v>
      </c>
      <c r="H9">
        <v>1</v>
      </c>
      <c r="I9" t="s">
        <v>171</v>
      </c>
      <c r="J9" t="s">
        <v>3</v>
      </c>
      <c r="K9" t="s">
        <v>172</v>
      </c>
      <c r="L9">
        <v>1191</v>
      </c>
      <c r="N9">
        <v>1013</v>
      </c>
      <c r="O9" t="s">
        <v>173</v>
      </c>
      <c r="P9" t="s">
        <v>173</v>
      </c>
      <c r="Q9">
        <v>1</v>
      </c>
      <c r="X9">
        <v>14.4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1</v>
      </c>
      <c r="AF9" t="s">
        <v>3</v>
      </c>
      <c r="AG9">
        <v>14.4</v>
      </c>
      <c r="AH9">
        <v>2</v>
      </c>
      <c r="AI9">
        <v>33985880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>
      <c r="A10">
        <f>ROW(Source!A32)</f>
        <v>32</v>
      </c>
      <c r="B10">
        <v>33985889</v>
      </c>
      <c r="C10">
        <v>33985879</v>
      </c>
      <c r="D10">
        <v>30063290</v>
      </c>
      <c r="E10">
        <v>1</v>
      </c>
      <c r="F10">
        <v>1</v>
      </c>
      <c r="G10">
        <v>29983435</v>
      </c>
      <c r="H10">
        <v>2</v>
      </c>
      <c r="I10" t="s">
        <v>181</v>
      </c>
      <c r="J10" t="s">
        <v>182</v>
      </c>
      <c r="K10" t="s">
        <v>183</v>
      </c>
      <c r="L10">
        <v>1367</v>
      </c>
      <c r="N10">
        <v>1011</v>
      </c>
      <c r="O10" t="s">
        <v>177</v>
      </c>
      <c r="P10" t="s">
        <v>177</v>
      </c>
      <c r="Q10">
        <v>1</v>
      </c>
      <c r="X10">
        <v>1.66</v>
      </c>
      <c r="Y10">
        <v>0</v>
      </c>
      <c r="Z10">
        <v>116.89</v>
      </c>
      <c r="AA10">
        <v>23.41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1.66</v>
      </c>
      <c r="AH10">
        <v>2</v>
      </c>
      <c r="AI10">
        <v>33985881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>
      <c r="A11">
        <f>ROW(Source!A32)</f>
        <v>32</v>
      </c>
      <c r="B11">
        <v>33985890</v>
      </c>
      <c r="C11">
        <v>33985879</v>
      </c>
      <c r="D11">
        <v>30063515</v>
      </c>
      <c r="E11">
        <v>1</v>
      </c>
      <c r="F11">
        <v>1</v>
      </c>
      <c r="G11">
        <v>29983435</v>
      </c>
      <c r="H11">
        <v>2</v>
      </c>
      <c r="I11" t="s">
        <v>184</v>
      </c>
      <c r="J11" t="s">
        <v>185</v>
      </c>
      <c r="K11" t="s">
        <v>186</v>
      </c>
      <c r="L11">
        <v>1367</v>
      </c>
      <c r="N11">
        <v>1011</v>
      </c>
      <c r="O11" t="s">
        <v>177</v>
      </c>
      <c r="P11" t="s">
        <v>177</v>
      </c>
      <c r="Q11">
        <v>1</v>
      </c>
      <c r="X11">
        <v>1.66</v>
      </c>
      <c r="Y11">
        <v>0</v>
      </c>
      <c r="Z11">
        <v>62.97</v>
      </c>
      <c r="AA11">
        <v>6.64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1.66</v>
      </c>
      <c r="AH11">
        <v>2</v>
      </c>
      <c r="AI11">
        <v>33985882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>
      <c r="A12">
        <f>ROW(Source!A32)</f>
        <v>32</v>
      </c>
      <c r="B12">
        <v>33985891</v>
      </c>
      <c r="C12">
        <v>33985879</v>
      </c>
      <c r="D12">
        <v>30063518</v>
      </c>
      <c r="E12">
        <v>1</v>
      </c>
      <c r="F12">
        <v>1</v>
      </c>
      <c r="G12">
        <v>29983435</v>
      </c>
      <c r="H12">
        <v>2</v>
      </c>
      <c r="I12" t="s">
        <v>187</v>
      </c>
      <c r="J12" t="s">
        <v>188</v>
      </c>
      <c r="K12" t="s">
        <v>189</v>
      </c>
      <c r="L12">
        <v>1367</v>
      </c>
      <c r="N12">
        <v>1011</v>
      </c>
      <c r="O12" t="s">
        <v>177</v>
      </c>
      <c r="P12" t="s">
        <v>177</v>
      </c>
      <c r="Q12">
        <v>1</v>
      </c>
      <c r="X12">
        <v>0.65</v>
      </c>
      <c r="Y12">
        <v>0</v>
      </c>
      <c r="Z12">
        <v>140.58000000000001</v>
      </c>
      <c r="AA12">
        <v>28.61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0.65</v>
      </c>
      <c r="AH12">
        <v>2</v>
      </c>
      <c r="AI12">
        <v>33985883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>
      <c r="A13">
        <f>ROW(Source!A32)</f>
        <v>32</v>
      </c>
      <c r="B13">
        <v>33985892</v>
      </c>
      <c r="C13">
        <v>33985879</v>
      </c>
      <c r="D13">
        <v>30063546</v>
      </c>
      <c r="E13">
        <v>1</v>
      </c>
      <c r="F13">
        <v>1</v>
      </c>
      <c r="G13">
        <v>29983435</v>
      </c>
      <c r="H13">
        <v>2</v>
      </c>
      <c r="I13" t="s">
        <v>190</v>
      </c>
      <c r="J13" t="s">
        <v>191</v>
      </c>
      <c r="K13" t="s">
        <v>192</v>
      </c>
      <c r="L13">
        <v>1367</v>
      </c>
      <c r="N13">
        <v>1011</v>
      </c>
      <c r="O13" t="s">
        <v>177</v>
      </c>
      <c r="P13" t="s">
        <v>177</v>
      </c>
      <c r="Q13">
        <v>1</v>
      </c>
      <c r="X13">
        <v>1.55</v>
      </c>
      <c r="Y13">
        <v>0</v>
      </c>
      <c r="Z13">
        <v>125.13</v>
      </c>
      <c r="AA13">
        <v>24.74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1.55</v>
      </c>
      <c r="AH13">
        <v>2</v>
      </c>
      <c r="AI13">
        <v>33985884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>
      <c r="A14">
        <f>ROW(Source!A32)</f>
        <v>32</v>
      </c>
      <c r="B14">
        <v>33985893</v>
      </c>
      <c r="C14">
        <v>33985879</v>
      </c>
      <c r="D14">
        <v>30063508</v>
      </c>
      <c r="E14">
        <v>1</v>
      </c>
      <c r="F14">
        <v>1</v>
      </c>
      <c r="G14">
        <v>29983435</v>
      </c>
      <c r="H14">
        <v>2</v>
      </c>
      <c r="I14" t="s">
        <v>193</v>
      </c>
      <c r="J14" t="s">
        <v>194</v>
      </c>
      <c r="K14" t="s">
        <v>195</v>
      </c>
      <c r="L14">
        <v>1367</v>
      </c>
      <c r="N14">
        <v>1011</v>
      </c>
      <c r="O14" t="s">
        <v>177</v>
      </c>
      <c r="P14" t="s">
        <v>177</v>
      </c>
      <c r="Q14">
        <v>1</v>
      </c>
      <c r="X14">
        <v>0.52</v>
      </c>
      <c r="Y14">
        <v>0</v>
      </c>
      <c r="Z14">
        <v>178.02</v>
      </c>
      <c r="AA14">
        <v>23.5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0.52</v>
      </c>
      <c r="AH14">
        <v>2</v>
      </c>
      <c r="AI14">
        <v>33985885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>
      <c r="A15">
        <f>ROW(Source!A32)</f>
        <v>32</v>
      </c>
      <c r="B15">
        <v>33985894</v>
      </c>
      <c r="C15">
        <v>33985879</v>
      </c>
      <c r="D15">
        <v>30042537</v>
      </c>
      <c r="E15">
        <v>1</v>
      </c>
      <c r="F15">
        <v>1</v>
      </c>
      <c r="G15">
        <v>29983435</v>
      </c>
      <c r="H15">
        <v>3</v>
      </c>
      <c r="I15" t="s">
        <v>196</v>
      </c>
      <c r="J15" t="s">
        <v>197</v>
      </c>
      <c r="K15" t="s">
        <v>198</v>
      </c>
      <c r="L15">
        <v>1339</v>
      </c>
      <c r="N15">
        <v>1007</v>
      </c>
      <c r="O15" t="s">
        <v>47</v>
      </c>
      <c r="P15" t="s">
        <v>47</v>
      </c>
      <c r="Q15">
        <v>1</v>
      </c>
      <c r="X15">
        <v>5</v>
      </c>
      <c r="Y15">
        <v>7.07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5</v>
      </c>
      <c r="AH15">
        <v>2</v>
      </c>
      <c r="AI15">
        <v>33985886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>
      <c r="A16">
        <f>ROW(Source!A32)</f>
        <v>32</v>
      </c>
      <c r="B16">
        <v>33985895</v>
      </c>
      <c r="C16">
        <v>33985879</v>
      </c>
      <c r="D16">
        <v>29984576</v>
      </c>
      <c r="E16">
        <v>29983435</v>
      </c>
      <c r="F16">
        <v>1</v>
      </c>
      <c r="G16">
        <v>29983435</v>
      </c>
      <c r="H16">
        <v>3</v>
      </c>
      <c r="I16" t="s">
        <v>241</v>
      </c>
      <c r="J16" t="s">
        <v>3</v>
      </c>
      <c r="K16" t="s">
        <v>242</v>
      </c>
      <c r="L16">
        <v>1339</v>
      </c>
      <c r="N16">
        <v>1007</v>
      </c>
      <c r="O16" t="s">
        <v>47</v>
      </c>
      <c r="P16" t="s">
        <v>47</v>
      </c>
      <c r="Q16">
        <v>1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 t="s">
        <v>3</v>
      </c>
      <c r="AG16">
        <v>0</v>
      </c>
      <c r="AH16">
        <v>3</v>
      </c>
      <c r="AI16">
        <v>-1</v>
      </c>
      <c r="AJ16" t="s">
        <v>3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>
      <c r="A17">
        <f>ROW(Source!A34)</f>
        <v>34</v>
      </c>
      <c r="B17">
        <v>33985907</v>
      </c>
      <c r="C17">
        <v>33985897</v>
      </c>
      <c r="D17">
        <v>29983441</v>
      </c>
      <c r="E17">
        <v>29983435</v>
      </c>
      <c r="F17">
        <v>1</v>
      </c>
      <c r="G17">
        <v>29983435</v>
      </c>
      <c r="H17">
        <v>1</v>
      </c>
      <c r="I17" t="s">
        <v>171</v>
      </c>
      <c r="J17" t="s">
        <v>3</v>
      </c>
      <c r="K17" t="s">
        <v>172</v>
      </c>
      <c r="L17">
        <v>1191</v>
      </c>
      <c r="N17">
        <v>1013</v>
      </c>
      <c r="O17" t="s">
        <v>173</v>
      </c>
      <c r="P17" t="s">
        <v>173</v>
      </c>
      <c r="Q17">
        <v>1</v>
      </c>
      <c r="X17">
        <v>21.6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1</v>
      </c>
      <c r="AF17" t="s">
        <v>3</v>
      </c>
      <c r="AG17">
        <v>21.6</v>
      </c>
      <c r="AH17">
        <v>2</v>
      </c>
      <c r="AI17">
        <v>33985898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>
      <c r="A18">
        <f>ROW(Source!A34)</f>
        <v>34</v>
      </c>
      <c r="B18">
        <v>33985908</v>
      </c>
      <c r="C18">
        <v>33985897</v>
      </c>
      <c r="D18">
        <v>30063269</v>
      </c>
      <c r="E18">
        <v>1</v>
      </c>
      <c r="F18">
        <v>1</v>
      </c>
      <c r="G18">
        <v>29983435</v>
      </c>
      <c r="H18">
        <v>2</v>
      </c>
      <c r="I18" t="s">
        <v>199</v>
      </c>
      <c r="J18" t="s">
        <v>200</v>
      </c>
      <c r="K18" t="s">
        <v>201</v>
      </c>
      <c r="L18">
        <v>1367</v>
      </c>
      <c r="N18">
        <v>1011</v>
      </c>
      <c r="O18" t="s">
        <v>177</v>
      </c>
      <c r="P18" t="s">
        <v>177</v>
      </c>
      <c r="Q18">
        <v>1</v>
      </c>
      <c r="X18">
        <v>2.35</v>
      </c>
      <c r="Y18">
        <v>0</v>
      </c>
      <c r="Z18">
        <v>95.06</v>
      </c>
      <c r="AA18">
        <v>22.22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2.35</v>
      </c>
      <c r="AH18">
        <v>2</v>
      </c>
      <c r="AI18">
        <v>33985899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>
      <c r="A19">
        <f>ROW(Source!A34)</f>
        <v>34</v>
      </c>
      <c r="B19">
        <v>33985909</v>
      </c>
      <c r="C19">
        <v>33985897</v>
      </c>
      <c r="D19">
        <v>30063518</v>
      </c>
      <c r="E19">
        <v>1</v>
      </c>
      <c r="F19">
        <v>1</v>
      </c>
      <c r="G19">
        <v>29983435</v>
      </c>
      <c r="H19">
        <v>2</v>
      </c>
      <c r="I19" t="s">
        <v>187</v>
      </c>
      <c r="J19" t="s">
        <v>188</v>
      </c>
      <c r="K19" t="s">
        <v>189</v>
      </c>
      <c r="L19">
        <v>1367</v>
      </c>
      <c r="N19">
        <v>1011</v>
      </c>
      <c r="O19" t="s">
        <v>177</v>
      </c>
      <c r="P19" t="s">
        <v>177</v>
      </c>
      <c r="Q19">
        <v>1</v>
      </c>
      <c r="X19">
        <v>0.91</v>
      </c>
      <c r="Y19">
        <v>0</v>
      </c>
      <c r="Z19">
        <v>140.58000000000001</v>
      </c>
      <c r="AA19">
        <v>28.61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0.91</v>
      </c>
      <c r="AH19">
        <v>2</v>
      </c>
      <c r="AI19">
        <v>33985900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>
      <c r="A20">
        <f>ROW(Source!A34)</f>
        <v>34</v>
      </c>
      <c r="B20">
        <v>33985910</v>
      </c>
      <c r="C20">
        <v>33985897</v>
      </c>
      <c r="D20">
        <v>30063503</v>
      </c>
      <c r="E20">
        <v>1</v>
      </c>
      <c r="F20">
        <v>1</v>
      </c>
      <c r="G20">
        <v>29983435</v>
      </c>
      <c r="H20">
        <v>2</v>
      </c>
      <c r="I20" t="s">
        <v>202</v>
      </c>
      <c r="J20" t="s">
        <v>203</v>
      </c>
      <c r="K20" t="s">
        <v>204</v>
      </c>
      <c r="L20">
        <v>1367</v>
      </c>
      <c r="N20">
        <v>1011</v>
      </c>
      <c r="O20" t="s">
        <v>177</v>
      </c>
      <c r="P20" t="s">
        <v>177</v>
      </c>
      <c r="Q20">
        <v>1</v>
      </c>
      <c r="X20">
        <v>7.17</v>
      </c>
      <c r="Y20">
        <v>0</v>
      </c>
      <c r="Z20">
        <v>84.82</v>
      </c>
      <c r="AA20">
        <v>22.85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7.17</v>
      </c>
      <c r="AH20">
        <v>2</v>
      </c>
      <c r="AI20">
        <v>33985901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>
      <c r="A21">
        <f>ROW(Source!A34)</f>
        <v>34</v>
      </c>
      <c r="B21">
        <v>33985911</v>
      </c>
      <c r="C21">
        <v>33985897</v>
      </c>
      <c r="D21">
        <v>30063504</v>
      </c>
      <c r="E21">
        <v>1</v>
      </c>
      <c r="F21">
        <v>1</v>
      </c>
      <c r="G21">
        <v>29983435</v>
      </c>
      <c r="H21">
        <v>2</v>
      </c>
      <c r="I21" t="s">
        <v>205</v>
      </c>
      <c r="J21" t="s">
        <v>206</v>
      </c>
      <c r="K21" t="s">
        <v>207</v>
      </c>
      <c r="L21">
        <v>1367</v>
      </c>
      <c r="N21">
        <v>1011</v>
      </c>
      <c r="O21" t="s">
        <v>177</v>
      </c>
      <c r="P21" t="s">
        <v>177</v>
      </c>
      <c r="Q21">
        <v>1</v>
      </c>
      <c r="X21">
        <v>14.6</v>
      </c>
      <c r="Y21">
        <v>0</v>
      </c>
      <c r="Z21">
        <v>119.77</v>
      </c>
      <c r="AA21">
        <v>22.85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14.6</v>
      </c>
      <c r="AH21">
        <v>2</v>
      </c>
      <c r="AI21">
        <v>33985902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>
      <c r="A22">
        <f>ROW(Source!A34)</f>
        <v>34</v>
      </c>
      <c r="B22">
        <v>33985912</v>
      </c>
      <c r="C22">
        <v>33985897</v>
      </c>
      <c r="D22">
        <v>30063546</v>
      </c>
      <c r="E22">
        <v>1</v>
      </c>
      <c r="F22">
        <v>1</v>
      </c>
      <c r="G22">
        <v>29983435</v>
      </c>
      <c r="H22">
        <v>2</v>
      </c>
      <c r="I22" t="s">
        <v>190</v>
      </c>
      <c r="J22" t="s">
        <v>191</v>
      </c>
      <c r="K22" t="s">
        <v>192</v>
      </c>
      <c r="L22">
        <v>1367</v>
      </c>
      <c r="N22">
        <v>1011</v>
      </c>
      <c r="O22" t="s">
        <v>177</v>
      </c>
      <c r="P22" t="s">
        <v>177</v>
      </c>
      <c r="Q22">
        <v>1</v>
      </c>
      <c r="X22">
        <v>1.79</v>
      </c>
      <c r="Y22">
        <v>0</v>
      </c>
      <c r="Z22">
        <v>125.13</v>
      </c>
      <c r="AA22">
        <v>24.74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1.79</v>
      </c>
      <c r="AH22">
        <v>2</v>
      </c>
      <c r="AI22">
        <v>33985903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>
      <c r="A23">
        <f>ROW(Source!A34)</f>
        <v>34</v>
      </c>
      <c r="B23">
        <v>33985913</v>
      </c>
      <c r="C23">
        <v>33985897</v>
      </c>
      <c r="D23">
        <v>30063508</v>
      </c>
      <c r="E23">
        <v>1</v>
      </c>
      <c r="F23">
        <v>1</v>
      </c>
      <c r="G23">
        <v>29983435</v>
      </c>
      <c r="H23">
        <v>2</v>
      </c>
      <c r="I23" t="s">
        <v>193</v>
      </c>
      <c r="J23" t="s">
        <v>194</v>
      </c>
      <c r="K23" t="s">
        <v>195</v>
      </c>
      <c r="L23">
        <v>1367</v>
      </c>
      <c r="N23">
        <v>1011</v>
      </c>
      <c r="O23" t="s">
        <v>177</v>
      </c>
      <c r="P23" t="s">
        <v>177</v>
      </c>
      <c r="Q23">
        <v>1</v>
      </c>
      <c r="X23">
        <v>0.52</v>
      </c>
      <c r="Y23">
        <v>0</v>
      </c>
      <c r="Z23">
        <v>178.02</v>
      </c>
      <c r="AA23">
        <v>23.5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0.52</v>
      </c>
      <c r="AH23">
        <v>2</v>
      </c>
      <c r="AI23">
        <v>33985904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>
      <c r="A24">
        <f>ROW(Source!A34)</f>
        <v>34</v>
      </c>
      <c r="B24">
        <v>33985914</v>
      </c>
      <c r="C24">
        <v>33985897</v>
      </c>
      <c r="D24">
        <v>30042537</v>
      </c>
      <c r="E24">
        <v>1</v>
      </c>
      <c r="F24">
        <v>1</v>
      </c>
      <c r="G24">
        <v>29983435</v>
      </c>
      <c r="H24">
        <v>3</v>
      </c>
      <c r="I24" t="s">
        <v>196</v>
      </c>
      <c r="J24" t="s">
        <v>197</v>
      </c>
      <c r="K24" t="s">
        <v>198</v>
      </c>
      <c r="L24">
        <v>1339</v>
      </c>
      <c r="N24">
        <v>1007</v>
      </c>
      <c r="O24" t="s">
        <v>47</v>
      </c>
      <c r="P24" t="s">
        <v>47</v>
      </c>
      <c r="Q24">
        <v>1</v>
      </c>
      <c r="X24">
        <v>7</v>
      </c>
      <c r="Y24">
        <v>7.07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7</v>
      </c>
      <c r="AH24">
        <v>2</v>
      </c>
      <c r="AI24">
        <v>33985905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>
      <c r="A25">
        <f>ROW(Source!A34)</f>
        <v>34</v>
      </c>
      <c r="B25">
        <v>33985915</v>
      </c>
      <c r="C25">
        <v>33985897</v>
      </c>
      <c r="D25">
        <v>29983795</v>
      </c>
      <c r="E25">
        <v>29983435</v>
      </c>
      <c r="F25">
        <v>1</v>
      </c>
      <c r="G25">
        <v>29983435</v>
      </c>
      <c r="H25">
        <v>3</v>
      </c>
      <c r="I25" t="s">
        <v>243</v>
      </c>
      <c r="J25" t="s">
        <v>3</v>
      </c>
      <c r="K25" t="s">
        <v>244</v>
      </c>
      <c r="L25">
        <v>1339</v>
      </c>
      <c r="N25">
        <v>1007</v>
      </c>
      <c r="O25" t="s">
        <v>47</v>
      </c>
      <c r="P25" t="s">
        <v>47</v>
      </c>
      <c r="Q25">
        <v>1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 t="s">
        <v>3</v>
      </c>
      <c r="AG25">
        <v>0</v>
      </c>
      <c r="AH25">
        <v>3</v>
      </c>
      <c r="AI25">
        <v>-1</v>
      </c>
      <c r="AJ25" t="s">
        <v>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>
      <c r="A26">
        <f>ROW(Source!A36)</f>
        <v>36</v>
      </c>
      <c r="B26">
        <v>33985922</v>
      </c>
      <c r="C26">
        <v>33985917</v>
      </c>
      <c r="D26">
        <v>29983441</v>
      </c>
      <c r="E26">
        <v>29983435</v>
      </c>
      <c r="F26">
        <v>1</v>
      </c>
      <c r="G26">
        <v>29983435</v>
      </c>
      <c r="H26">
        <v>1</v>
      </c>
      <c r="I26" t="s">
        <v>171</v>
      </c>
      <c r="J26" t="s">
        <v>3</v>
      </c>
      <c r="K26" t="s">
        <v>172</v>
      </c>
      <c r="L26">
        <v>1191</v>
      </c>
      <c r="N26">
        <v>1013</v>
      </c>
      <c r="O26" t="s">
        <v>173</v>
      </c>
      <c r="P26" t="s">
        <v>173</v>
      </c>
      <c r="Q26">
        <v>1</v>
      </c>
      <c r="X26">
        <v>8.9600000000000009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1</v>
      </c>
      <c r="AF26" t="s">
        <v>3</v>
      </c>
      <c r="AG26">
        <v>8.9600000000000009</v>
      </c>
      <c r="AH26">
        <v>2</v>
      </c>
      <c r="AI26">
        <v>33985918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>
      <c r="A27">
        <f>ROW(Source!A36)</f>
        <v>36</v>
      </c>
      <c r="B27">
        <v>33985923</v>
      </c>
      <c r="C27">
        <v>33985917</v>
      </c>
      <c r="D27">
        <v>30063503</v>
      </c>
      <c r="E27">
        <v>1</v>
      </c>
      <c r="F27">
        <v>1</v>
      </c>
      <c r="G27">
        <v>29983435</v>
      </c>
      <c r="H27">
        <v>2</v>
      </c>
      <c r="I27" t="s">
        <v>202</v>
      </c>
      <c r="J27" t="s">
        <v>203</v>
      </c>
      <c r="K27" t="s">
        <v>204</v>
      </c>
      <c r="L27">
        <v>1367</v>
      </c>
      <c r="N27">
        <v>1011</v>
      </c>
      <c r="O27" t="s">
        <v>177</v>
      </c>
      <c r="P27" t="s">
        <v>177</v>
      </c>
      <c r="Q27">
        <v>1</v>
      </c>
      <c r="X27">
        <v>0.71</v>
      </c>
      <c r="Y27">
        <v>0</v>
      </c>
      <c r="Z27">
        <v>84.82</v>
      </c>
      <c r="AA27">
        <v>22.85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0.71</v>
      </c>
      <c r="AH27">
        <v>2</v>
      </c>
      <c r="AI27">
        <v>33985919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>
      <c r="A28">
        <f>ROW(Source!A36)</f>
        <v>36</v>
      </c>
      <c r="B28">
        <v>33985924</v>
      </c>
      <c r="C28">
        <v>33985917</v>
      </c>
      <c r="D28">
        <v>30042602</v>
      </c>
      <c r="E28">
        <v>1</v>
      </c>
      <c r="F28">
        <v>1</v>
      </c>
      <c r="G28">
        <v>29983435</v>
      </c>
      <c r="H28">
        <v>3</v>
      </c>
      <c r="I28" t="s">
        <v>208</v>
      </c>
      <c r="J28" t="s">
        <v>209</v>
      </c>
      <c r="K28" t="s">
        <v>210</v>
      </c>
      <c r="L28">
        <v>1348</v>
      </c>
      <c r="N28">
        <v>1009</v>
      </c>
      <c r="O28" t="s">
        <v>67</v>
      </c>
      <c r="P28" t="s">
        <v>67</v>
      </c>
      <c r="Q28">
        <v>1000</v>
      </c>
      <c r="X28">
        <v>0.06</v>
      </c>
      <c r="Y28">
        <v>3501.78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0.06</v>
      </c>
      <c r="AH28">
        <v>2</v>
      </c>
      <c r="AI28">
        <v>33985920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>
      <c r="A29">
        <f>ROW(Source!A36)</f>
        <v>36</v>
      </c>
      <c r="B29">
        <v>33985925</v>
      </c>
      <c r="C29">
        <v>33985917</v>
      </c>
      <c r="D29">
        <v>29983567</v>
      </c>
      <c r="E29">
        <v>29983435</v>
      </c>
      <c r="F29">
        <v>1</v>
      </c>
      <c r="G29">
        <v>29983435</v>
      </c>
      <c r="H29">
        <v>3</v>
      </c>
      <c r="I29" t="s">
        <v>245</v>
      </c>
      <c r="J29" t="s">
        <v>3</v>
      </c>
      <c r="K29" t="s">
        <v>246</v>
      </c>
      <c r="L29">
        <v>1348</v>
      </c>
      <c r="N29">
        <v>1009</v>
      </c>
      <c r="O29" t="s">
        <v>67</v>
      </c>
      <c r="P29" t="s">
        <v>67</v>
      </c>
      <c r="Q29">
        <v>1000</v>
      </c>
      <c r="X29">
        <v>7.14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 t="s">
        <v>3</v>
      </c>
      <c r="AG29">
        <v>7.14</v>
      </c>
      <c r="AH29">
        <v>3</v>
      </c>
      <c r="AI29">
        <v>-1</v>
      </c>
      <c r="AJ29" t="s">
        <v>3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>
      <c r="A30">
        <f>ROW(Source!A73)</f>
        <v>73</v>
      </c>
      <c r="B30">
        <v>33985931</v>
      </c>
      <c r="C30">
        <v>33985927</v>
      </c>
      <c r="D30">
        <v>29983441</v>
      </c>
      <c r="E30">
        <v>29983435</v>
      </c>
      <c r="F30">
        <v>1</v>
      </c>
      <c r="G30">
        <v>29983435</v>
      </c>
      <c r="H30">
        <v>1</v>
      </c>
      <c r="I30" t="s">
        <v>171</v>
      </c>
      <c r="J30" t="s">
        <v>3</v>
      </c>
      <c r="K30" t="s">
        <v>172</v>
      </c>
      <c r="L30">
        <v>1191</v>
      </c>
      <c r="N30">
        <v>1013</v>
      </c>
      <c r="O30" t="s">
        <v>173</v>
      </c>
      <c r="P30" t="s">
        <v>173</v>
      </c>
      <c r="Q30">
        <v>1</v>
      </c>
      <c r="X30">
        <v>1.38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1</v>
      </c>
      <c r="AF30" t="s">
        <v>3</v>
      </c>
      <c r="AG30">
        <v>1.38</v>
      </c>
      <c r="AH30">
        <v>2</v>
      </c>
      <c r="AI30">
        <v>33985928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>
      <c r="A31">
        <f>ROW(Source!A73)</f>
        <v>73</v>
      </c>
      <c r="B31">
        <v>33985932</v>
      </c>
      <c r="C31">
        <v>33985927</v>
      </c>
      <c r="D31">
        <v>30063245</v>
      </c>
      <c r="E31">
        <v>1</v>
      </c>
      <c r="F31">
        <v>1</v>
      </c>
      <c r="G31">
        <v>29983435</v>
      </c>
      <c r="H31">
        <v>2</v>
      </c>
      <c r="I31" t="s">
        <v>174</v>
      </c>
      <c r="J31" t="s">
        <v>175</v>
      </c>
      <c r="K31" t="s">
        <v>176</v>
      </c>
      <c r="L31">
        <v>1367</v>
      </c>
      <c r="N31">
        <v>1011</v>
      </c>
      <c r="O31" t="s">
        <v>177</v>
      </c>
      <c r="P31" t="s">
        <v>177</v>
      </c>
      <c r="Q31">
        <v>1</v>
      </c>
      <c r="X31">
        <v>3.9874999999999998</v>
      </c>
      <c r="Y31">
        <v>0</v>
      </c>
      <c r="Z31">
        <v>162.4</v>
      </c>
      <c r="AA31">
        <v>28.6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3.9874999999999998</v>
      </c>
      <c r="AH31">
        <v>2</v>
      </c>
      <c r="AI31">
        <v>33985929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>
      <c r="A32">
        <f>ROW(Source!A73)</f>
        <v>73</v>
      </c>
      <c r="B32">
        <v>33985933</v>
      </c>
      <c r="C32">
        <v>33985927</v>
      </c>
      <c r="D32">
        <v>30063270</v>
      </c>
      <c r="E32">
        <v>1</v>
      </c>
      <c r="F32">
        <v>1</v>
      </c>
      <c r="G32">
        <v>29983435</v>
      </c>
      <c r="H32">
        <v>2</v>
      </c>
      <c r="I32" t="s">
        <v>178</v>
      </c>
      <c r="J32" t="s">
        <v>179</v>
      </c>
      <c r="K32" t="s">
        <v>180</v>
      </c>
      <c r="L32">
        <v>1367</v>
      </c>
      <c r="N32">
        <v>1011</v>
      </c>
      <c r="O32" t="s">
        <v>177</v>
      </c>
      <c r="P32" t="s">
        <v>177</v>
      </c>
      <c r="Q32">
        <v>1</v>
      </c>
      <c r="X32">
        <v>0.997</v>
      </c>
      <c r="Y32">
        <v>0</v>
      </c>
      <c r="Z32">
        <v>110.31</v>
      </c>
      <c r="AA32">
        <v>26.52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0.997</v>
      </c>
      <c r="AH32">
        <v>2</v>
      </c>
      <c r="AI32">
        <v>33985930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>
      <c r="A33">
        <f>ROW(Source!A74)</f>
        <v>74</v>
      </c>
      <c r="B33">
        <v>33985936</v>
      </c>
      <c r="C33">
        <v>33985934</v>
      </c>
      <c r="D33">
        <v>29983441</v>
      </c>
      <c r="E33">
        <v>29983435</v>
      </c>
      <c r="F33">
        <v>1</v>
      </c>
      <c r="G33">
        <v>29983435</v>
      </c>
      <c r="H33">
        <v>1</v>
      </c>
      <c r="I33" t="s">
        <v>171</v>
      </c>
      <c r="J33" t="s">
        <v>3</v>
      </c>
      <c r="K33" t="s">
        <v>172</v>
      </c>
      <c r="L33">
        <v>1191</v>
      </c>
      <c r="N33">
        <v>1013</v>
      </c>
      <c r="O33" t="s">
        <v>173</v>
      </c>
      <c r="P33" t="s">
        <v>173</v>
      </c>
      <c r="Q33">
        <v>1</v>
      </c>
      <c r="X33">
        <v>192.7</v>
      </c>
      <c r="Y33">
        <v>0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1</v>
      </c>
      <c r="AF33" t="s">
        <v>3</v>
      </c>
      <c r="AG33">
        <v>192.7</v>
      </c>
      <c r="AH33">
        <v>2</v>
      </c>
      <c r="AI33">
        <v>33985935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>
      <c r="A34">
        <f>ROW(Source!A75)</f>
        <v>75</v>
      </c>
      <c r="B34">
        <v>33985939</v>
      </c>
      <c r="C34">
        <v>33985937</v>
      </c>
      <c r="D34">
        <v>29983441</v>
      </c>
      <c r="E34">
        <v>29983435</v>
      </c>
      <c r="F34">
        <v>1</v>
      </c>
      <c r="G34">
        <v>29983435</v>
      </c>
      <c r="H34">
        <v>1</v>
      </c>
      <c r="I34" t="s">
        <v>171</v>
      </c>
      <c r="J34" t="s">
        <v>3</v>
      </c>
      <c r="K34" t="s">
        <v>172</v>
      </c>
      <c r="L34">
        <v>1191</v>
      </c>
      <c r="N34">
        <v>1013</v>
      </c>
      <c r="O34" t="s">
        <v>173</v>
      </c>
      <c r="P34" t="s">
        <v>173</v>
      </c>
      <c r="Q34">
        <v>1</v>
      </c>
      <c r="X34">
        <v>83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1</v>
      </c>
      <c r="AF34" t="s">
        <v>3</v>
      </c>
      <c r="AG34">
        <v>83</v>
      </c>
      <c r="AH34">
        <v>2</v>
      </c>
      <c r="AI34">
        <v>33985938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>
      <c r="A35">
        <f>ROW(Source!A76)</f>
        <v>76</v>
      </c>
      <c r="B35">
        <v>33985949</v>
      </c>
      <c r="C35">
        <v>33985940</v>
      </c>
      <c r="D35">
        <v>29983441</v>
      </c>
      <c r="E35">
        <v>29983435</v>
      </c>
      <c r="F35">
        <v>1</v>
      </c>
      <c r="G35">
        <v>29983435</v>
      </c>
      <c r="H35">
        <v>1</v>
      </c>
      <c r="I35" t="s">
        <v>171</v>
      </c>
      <c r="J35" t="s">
        <v>3</v>
      </c>
      <c r="K35" t="s">
        <v>172</v>
      </c>
      <c r="L35">
        <v>1191</v>
      </c>
      <c r="N35">
        <v>1013</v>
      </c>
      <c r="O35" t="s">
        <v>173</v>
      </c>
      <c r="P35" t="s">
        <v>173</v>
      </c>
      <c r="Q35">
        <v>1</v>
      </c>
      <c r="X35">
        <v>14.4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1</v>
      </c>
      <c r="AF35" t="s">
        <v>3</v>
      </c>
      <c r="AG35">
        <v>14.4</v>
      </c>
      <c r="AH35">
        <v>2</v>
      </c>
      <c r="AI35">
        <v>33985941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>
      <c r="A36">
        <f>ROW(Source!A76)</f>
        <v>76</v>
      </c>
      <c r="B36">
        <v>33985950</v>
      </c>
      <c r="C36">
        <v>33985940</v>
      </c>
      <c r="D36">
        <v>30063290</v>
      </c>
      <c r="E36">
        <v>1</v>
      </c>
      <c r="F36">
        <v>1</v>
      </c>
      <c r="G36">
        <v>29983435</v>
      </c>
      <c r="H36">
        <v>2</v>
      </c>
      <c r="I36" t="s">
        <v>181</v>
      </c>
      <c r="J36" t="s">
        <v>182</v>
      </c>
      <c r="K36" t="s">
        <v>183</v>
      </c>
      <c r="L36">
        <v>1367</v>
      </c>
      <c r="N36">
        <v>1011</v>
      </c>
      <c r="O36" t="s">
        <v>177</v>
      </c>
      <c r="P36" t="s">
        <v>177</v>
      </c>
      <c r="Q36">
        <v>1</v>
      </c>
      <c r="X36">
        <v>1.66</v>
      </c>
      <c r="Y36">
        <v>0</v>
      </c>
      <c r="Z36">
        <v>116.89</v>
      </c>
      <c r="AA36">
        <v>23.41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1.66</v>
      </c>
      <c r="AH36">
        <v>2</v>
      </c>
      <c r="AI36">
        <v>33985942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>
      <c r="A37">
        <f>ROW(Source!A76)</f>
        <v>76</v>
      </c>
      <c r="B37">
        <v>33985951</v>
      </c>
      <c r="C37">
        <v>33985940</v>
      </c>
      <c r="D37">
        <v>30063515</v>
      </c>
      <c r="E37">
        <v>1</v>
      </c>
      <c r="F37">
        <v>1</v>
      </c>
      <c r="G37">
        <v>29983435</v>
      </c>
      <c r="H37">
        <v>2</v>
      </c>
      <c r="I37" t="s">
        <v>184</v>
      </c>
      <c r="J37" t="s">
        <v>185</v>
      </c>
      <c r="K37" t="s">
        <v>186</v>
      </c>
      <c r="L37">
        <v>1367</v>
      </c>
      <c r="N37">
        <v>1011</v>
      </c>
      <c r="O37" t="s">
        <v>177</v>
      </c>
      <c r="P37" t="s">
        <v>177</v>
      </c>
      <c r="Q37">
        <v>1</v>
      </c>
      <c r="X37">
        <v>1.66</v>
      </c>
      <c r="Y37">
        <v>0</v>
      </c>
      <c r="Z37">
        <v>62.97</v>
      </c>
      <c r="AA37">
        <v>6.64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1.66</v>
      </c>
      <c r="AH37">
        <v>2</v>
      </c>
      <c r="AI37">
        <v>33985943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>
      <c r="A38">
        <f>ROW(Source!A76)</f>
        <v>76</v>
      </c>
      <c r="B38">
        <v>33985952</v>
      </c>
      <c r="C38">
        <v>33985940</v>
      </c>
      <c r="D38">
        <v>30063518</v>
      </c>
      <c r="E38">
        <v>1</v>
      </c>
      <c r="F38">
        <v>1</v>
      </c>
      <c r="G38">
        <v>29983435</v>
      </c>
      <c r="H38">
        <v>2</v>
      </c>
      <c r="I38" t="s">
        <v>187</v>
      </c>
      <c r="J38" t="s">
        <v>188</v>
      </c>
      <c r="K38" t="s">
        <v>189</v>
      </c>
      <c r="L38">
        <v>1367</v>
      </c>
      <c r="N38">
        <v>1011</v>
      </c>
      <c r="O38" t="s">
        <v>177</v>
      </c>
      <c r="P38" t="s">
        <v>177</v>
      </c>
      <c r="Q38">
        <v>1</v>
      </c>
      <c r="X38">
        <v>0.65</v>
      </c>
      <c r="Y38">
        <v>0</v>
      </c>
      <c r="Z38">
        <v>140.58000000000001</v>
      </c>
      <c r="AA38">
        <v>28.61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0.65</v>
      </c>
      <c r="AH38">
        <v>2</v>
      </c>
      <c r="AI38">
        <v>33985944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>
      <c r="A39">
        <f>ROW(Source!A76)</f>
        <v>76</v>
      </c>
      <c r="B39">
        <v>33985953</v>
      </c>
      <c r="C39">
        <v>33985940</v>
      </c>
      <c r="D39">
        <v>30063546</v>
      </c>
      <c r="E39">
        <v>1</v>
      </c>
      <c r="F39">
        <v>1</v>
      </c>
      <c r="G39">
        <v>29983435</v>
      </c>
      <c r="H39">
        <v>2</v>
      </c>
      <c r="I39" t="s">
        <v>190</v>
      </c>
      <c r="J39" t="s">
        <v>191</v>
      </c>
      <c r="K39" t="s">
        <v>192</v>
      </c>
      <c r="L39">
        <v>1367</v>
      </c>
      <c r="N39">
        <v>1011</v>
      </c>
      <c r="O39" t="s">
        <v>177</v>
      </c>
      <c r="P39" t="s">
        <v>177</v>
      </c>
      <c r="Q39">
        <v>1</v>
      </c>
      <c r="X39">
        <v>1.55</v>
      </c>
      <c r="Y39">
        <v>0</v>
      </c>
      <c r="Z39">
        <v>125.13</v>
      </c>
      <c r="AA39">
        <v>24.74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1.55</v>
      </c>
      <c r="AH39">
        <v>2</v>
      </c>
      <c r="AI39">
        <v>33985945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>
      <c r="A40">
        <f>ROW(Source!A76)</f>
        <v>76</v>
      </c>
      <c r="B40">
        <v>33985954</v>
      </c>
      <c r="C40">
        <v>33985940</v>
      </c>
      <c r="D40">
        <v>30063508</v>
      </c>
      <c r="E40">
        <v>1</v>
      </c>
      <c r="F40">
        <v>1</v>
      </c>
      <c r="G40">
        <v>29983435</v>
      </c>
      <c r="H40">
        <v>2</v>
      </c>
      <c r="I40" t="s">
        <v>193</v>
      </c>
      <c r="J40" t="s">
        <v>194</v>
      </c>
      <c r="K40" t="s">
        <v>195</v>
      </c>
      <c r="L40">
        <v>1367</v>
      </c>
      <c r="N40">
        <v>1011</v>
      </c>
      <c r="O40" t="s">
        <v>177</v>
      </c>
      <c r="P40" t="s">
        <v>177</v>
      </c>
      <c r="Q40">
        <v>1</v>
      </c>
      <c r="X40">
        <v>0.52</v>
      </c>
      <c r="Y40">
        <v>0</v>
      </c>
      <c r="Z40">
        <v>178.02</v>
      </c>
      <c r="AA40">
        <v>23.5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0.52</v>
      </c>
      <c r="AH40">
        <v>2</v>
      </c>
      <c r="AI40">
        <v>33985946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>
      <c r="A41">
        <f>ROW(Source!A76)</f>
        <v>76</v>
      </c>
      <c r="B41">
        <v>33985955</v>
      </c>
      <c r="C41">
        <v>33985940</v>
      </c>
      <c r="D41">
        <v>30042537</v>
      </c>
      <c r="E41">
        <v>1</v>
      </c>
      <c r="F41">
        <v>1</v>
      </c>
      <c r="G41">
        <v>29983435</v>
      </c>
      <c r="H41">
        <v>3</v>
      </c>
      <c r="I41" t="s">
        <v>196</v>
      </c>
      <c r="J41" t="s">
        <v>197</v>
      </c>
      <c r="K41" t="s">
        <v>198</v>
      </c>
      <c r="L41">
        <v>1339</v>
      </c>
      <c r="N41">
        <v>1007</v>
      </c>
      <c r="O41" t="s">
        <v>47</v>
      </c>
      <c r="P41" t="s">
        <v>47</v>
      </c>
      <c r="Q41">
        <v>1</v>
      </c>
      <c r="X41">
        <v>5</v>
      </c>
      <c r="Y41">
        <v>7.07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5</v>
      </c>
      <c r="AH41">
        <v>2</v>
      </c>
      <c r="AI41">
        <v>33985947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>
      <c r="A42">
        <f>ROW(Source!A76)</f>
        <v>76</v>
      </c>
      <c r="B42">
        <v>33985956</v>
      </c>
      <c r="C42">
        <v>33985940</v>
      </c>
      <c r="D42">
        <v>29984576</v>
      </c>
      <c r="E42">
        <v>29983435</v>
      </c>
      <c r="F42">
        <v>1</v>
      </c>
      <c r="G42">
        <v>29983435</v>
      </c>
      <c r="H42">
        <v>3</v>
      </c>
      <c r="I42" t="s">
        <v>241</v>
      </c>
      <c r="J42" t="s">
        <v>3</v>
      </c>
      <c r="K42" t="s">
        <v>242</v>
      </c>
      <c r="L42">
        <v>1339</v>
      </c>
      <c r="N42">
        <v>1007</v>
      </c>
      <c r="O42" t="s">
        <v>47</v>
      </c>
      <c r="P42" t="s">
        <v>47</v>
      </c>
      <c r="Q42">
        <v>1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 t="s">
        <v>3</v>
      </c>
      <c r="AG42">
        <v>0</v>
      </c>
      <c r="AH42">
        <v>3</v>
      </c>
      <c r="AI42">
        <v>-1</v>
      </c>
      <c r="AJ42" t="s">
        <v>3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>
      <c r="A43">
        <f>ROW(Source!A78)</f>
        <v>78</v>
      </c>
      <c r="B43">
        <v>33985968</v>
      </c>
      <c r="C43">
        <v>33985958</v>
      </c>
      <c r="D43">
        <v>29983441</v>
      </c>
      <c r="E43">
        <v>29983435</v>
      </c>
      <c r="F43">
        <v>1</v>
      </c>
      <c r="G43">
        <v>29983435</v>
      </c>
      <c r="H43">
        <v>1</v>
      </c>
      <c r="I43" t="s">
        <v>171</v>
      </c>
      <c r="J43" t="s">
        <v>3</v>
      </c>
      <c r="K43" t="s">
        <v>172</v>
      </c>
      <c r="L43">
        <v>1191</v>
      </c>
      <c r="N43">
        <v>1013</v>
      </c>
      <c r="O43" t="s">
        <v>173</v>
      </c>
      <c r="P43" t="s">
        <v>173</v>
      </c>
      <c r="Q43">
        <v>1</v>
      </c>
      <c r="X43">
        <v>21.6</v>
      </c>
      <c r="Y43">
        <v>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1</v>
      </c>
      <c r="AF43" t="s">
        <v>3</v>
      </c>
      <c r="AG43">
        <v>21.6</v>
      </c>
      <c r="AH43">
        <v>2</v>
      </c>
      <c r="AI43">
        <v>33985959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>
      <c r="A44">
        <f>ROW(Source!A78)</f>
        <v>78</v>
      </c>
      <c r="B44">
        <v>33985969</v>
      </c>
      <c r="C44">
        <v>33985958</v>
      </c>
      <c r="D44">
        <v>30063269</v>
      </c>
      <c r="E44">
        <v>1</v>
      </c>
      <c r="F44">
        <v>1</v>
      </c>
      <c r="G44">
        <v>29983435</v>
      </c>
      <c r="H44">
        <v>2</v>
      </c>
      <c r="I44" t="s">
        <v>199</v>
      </c>
      <c r="J44" t="s">
        <v>200</v>
      </c>
      <c r="K44" t="s">
        <v>201</v>
      </c>
      <c r="L44">
        <v>1367</v>
      </c>
      <c r="N44">
        <v>1011</v>
      </c>
      <c r="O44" t="s">
        <v>177</v>
      </c>
      <c r="P44" t="s">
        <v>177</v>
      </c>
      <c r="Q44">
        <v>1</v>
      </c>
      <c r="X44">
        <v>2.35</v>
      </c>
      <c r="Y44">
        <v>0</v>
      </c>
      <c r="Z44">
        <v>95.06</v>
      </c>
      <c r="AA44">
        <v>22.22</v>
      </c>
      <c r="AB44">
        <v>0</v>
      </c>
      <c r="AC44">
        <v>0</v>
      </c>
      <c r="AD44">
        <v>1</v>
      </c>
      <c r="AE44">
        <v>0</v>
      </c>
      <c r="AF44" t="s">
        <v>3</v>
      </c>
      <c r="AG44">
        <v>2.35</v>
      </c>
      <c r="AH44">
        <v>2</v>
      </c>
      <c r="AI44">
        <v>33985960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>
      <c r="A45">
        <f>ROW(Source!A78)</f>
        <v>78</v>
      </c>
      <c r="B45">
        <v>33985970</v>
      </c>
      <c r="C45">
        <v>33985958</v>
      </c>
      <c r="D45">
        <v>30063518</v>
      </c>
      <c r="E45">
        <v>1</v>
      </c>
      <c r="F45">
        <v>1</v>
      </c>
      <c r="G45">
        <v>29983435</v>
      </c>
      <c r="H45">
        <v>2</v>
      </c>
      <c r="I45" t="s">
        <v>187</v>
      </c>
      <c r="J45" t="s">
        <v>188</v>
      </c>
      <c r="K45" t="s">
        <v>189</v>
      </c>
      <c r="L45">
        <v>1367</v>
      </c>
      <c r="N45">
        <v>1011</v>
      </c>
      <c r="O45" t="s">
        <v>177</v>
      </c>
      <c r="P45" t="s">
        <v>177</v>
      </c>
      <c r="Q45">
        <v>1</v>
      </c>
      <c r="X45">
        <v>0.91</v>
      </c>
      <c r="Y45">
        <v>0</v>
      </c>
      <c r="Z45">
        <v>140.58000000000001</v>
      </c>
      <c r="AA45">
        <v>28.61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0.91</v>
      </c>
      <c r="AH45">
        <v>2</v>
      </c>
      <c r="AI45">
        <v>33985961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>
      <c r="A46">
        <f>ROW(Source!A78)</f>
        <v>78</v>
      </c>
      <c r="B46">
        <v>33985971</v>
      </c>
      <c r="C46">
        <v>33985958</v>
      </c>
      <c r="D46">
        <v>30063503</v>
      </c>
      <c r="E46">
        <v>1</v>
      </c>
      <c r="F46">
        <v>1</v>
      </c>
      <c r="G46">
        <v>29983435</v>
      </c>
      <c r="H46">
        <v>2</v>
      </c>
      <c r="I46" t="s">
        <v>202</v>
      </c>
      <c r="J46" t="s">
        <v>203</v>
      </c>
      <c r="K46" t="s">
        <v>204</v>
      </c>
      <c r="L46">
        <v>1367</v>
      </c>
      <c r="N46">
        <v>1011</v>
      </c>
      <c r="O46" t="s">
        <v>177</v>
      </c>
      <c r="P46" t="s">
        <v>177</v>
      </c>
      <c r="Q46">
        <v>1</v>
      </c>
      <c r="X46">
        <v>7.17</v>
      </c>
      <c r="Y46">
        <v>0</v>
      </c>
      <c r="Z46">
        <v>84.82</v>
      </c>
      <c r="AA46">
        <v>22.85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7.17</v>
      </c>
      <c r="AH46">
        <v>2</v>
      </c>
      <c r="AI46">
        <v>33985962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>
      <c r="A47">
        <f>ROW(Source!A78)</f>
        <v>78</v>
      </c>
      <c r="B47">
        <v>33985972</v>
      </c>
      <c r="C47">
        <v>33985958</v>
      </c>
      <c r="D47">
        <v>30063504</v>
      </c>
      <c r="E47">
        <v>1</v>
      </c>
      <c r="F47">
        <v>1</v>
      </c>
      <c r="G47">
        <v>29983435</v>
      </c>
      <c r="H47">
        <v>2</v>
      </c>
      <c r="I47" t="s">
        <v>205</v>
      </c>
      <c r="J47" t="s">
        <v>206</v>
      </c>
      <c r="K47" t="s">
        <v>207</v>
      </c>
      <c r="L47">
        <v>1367</v>
      </c>
      <c r="N47">
        <v>1011</v>
      </c>
      <c r="O47" t="s">
        <v>177</v>
      </c>
      <c r="P47" t="s">
        <v>177</v>
      </c>
      <c r="Q47">
        <v>1</v>
      </c>
      <c r="X47">
        <v>14.6</v>
      </c>
      <c r="Y47">
        <v>0</v>
      </c>
      <c r="Z47">
        <v>119.77</v>
      </c>
      <c r="AA47">
        <v>22.85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14.6</v>
      </c>
      <c r="AH47">
        <v>2</v>
      </c>
      <c r="AI47">
        <v>33985963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>
      <c r="A48">
        <f>ROW(Source!A78)</f>
        <v>78</v>
      </c>
      <c r="B48">
        <v>33985973</v>
      </c>
      <c r="C48">
        <v>33985958</v>
      </c>
      <c r="D48">
        <v>30063546</v>
      </c>
      <c r="E48">
        <v>1</v>
      </c>
      <c r="F48">
        <v>1</v>
      </c>
      <c r="G48">
        <v>29983435</v>
      </c>
      <c r="H48">
        <v>2</v>
      </c>
      <c r="I48" t="s">
        <v>190</v>
      </c>
      <c r="J48" t="s">
        <v>191</v>
      </c>
      <c r="K48" t="s">
        <v>192</v>
      </c>
      <c r="L48">
        <v>1367</v>
      </c>
      <c r="N48">
        <v>1011</v>
      </c>
      <c r="O48" t="s">
        <v>177</v>
      </c>
      <c r="P48" t="s">
        <v>177</v>
      </c>
      <c r="Q48">
        <v>1</v>
      </c>
      <c r="X48">
        <v>1.79</v>
      </c>
      <c r="Y48">
        <v>0</v>
      </c>
      <c r="Z48">
        <v>125.13</v>
      </c>
      <c r="AA48">
        <v>24.74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1.79</v>
      </c>
      <c r="AH48">
        <v>2</v>
      </c>
      <c r="AI48">
        <v>33985964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>
      <c r="A49">
        <f>ROW(Source!A78)</f>
        <v>78</v>
      </c>
      <c r="B49">
        <v>33985974</v>
      </c>
      <c r="C49">
        <v>33985958</v>
      </c>
      <c r="D49">
        <v>30063508</v>
      </c>
      <c r="E49">
        <v>1</v>
      </c>
      <c r="F49">
        <v>1</v>
      </c>
      <c r="G49">
        <v>29983435</v>
      </c>
      <c r="H49">
        <v>2</v>
      </c>
      <c r="I49" t="s">
        <v>193</v>
      </c>
      <c r="J49" t="s">
        <v>194</v>
      </c>
      <c r="K49" t="s">
        <v>195</v>
      </c>
      <c r="L49">
        <v>1367</v>
      </c>
      <c r="N49">
        <v>1011</v>
      </c>
      <c r="O49" t="s">
        <v>177</v>
      </c>
      <c r="P49" t="s">
        <v>177</v>
      </c>
      <c r="Q49">
        <v>1</v>
      </c>
      <c r="X49">
        <v>0.52</v>
      </c>
      <c r="Y49">
        <v>0</v>
      </c>
      <c r="Z49">
        <v>178.02</v>
      </c>
      <c r="AA49">
        <v>23.5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0.52</v>
      </c>
      <c r="AH49">
        <v>2</v>
      </c>
      <c r="AI49">
        <v>33985965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>
      <c r="A50">
        <f>ROW(Source!A78)</f>
        <v>78</v>
      </c>
      <c r="B50">
        <v>33985975</v>
      </c>
      <c r="C50">
        <v>33985958</v>
      </c>
      <c r="D50">
        <v>30042537</v>
      </c>
      <c r="E50">
        <v>1</v>
      </c>
      <c r="F50">
        <v>1</v>
      </c>
      <c r="G50">
        <v>29983435</v>
      </c>
      <c r="H50">
        <v>3</v>
      </c>
      <c r="I50" t="s">
        <v>196</v>
      </c>
      <c r="J50" t="s">
        <v>197</v>
      </c>
      <c r="K50" t="s">
        <v>198</v>
      </c>
      <c r="L50">
        <v>1339</v>
      </c>
      <c r="N50">
        <v>1007</v>
      </c>
      <c r="O50" t="s">
        <v>47</v>
      </c>
      <c r="P50" t="s">
        <v>47</v>
      </c>
      <c r="Q50">
        <v>1</v>
      </c>
      <c r="X50">
        <v>7</v>
      </c>
      <c r="Y50">
        <v>7.07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7</v>
      </c>
      <c r="AH50">
        <v>2</v>
      </c>
      <c r="AI50">
        <v>33985966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>
      <c r="A51">
        <f>ROW(Source!A78)</f>
        <v>78</v>
      </c>
      <c r="B51">
        <v>33985976</v>
      </c>
      <c r="C51">
        <v>33985958</v>
      </c>
      <c r="D51">
        <v>29983795</v>
      </c>
      <c r="E51">
        <v>29983435</v>
      </c>
      <c r="F51">
        <v>1</v>
      </c>
      <c r="G51">
        <v>29983435</v>
      </c>
      <c r="H51">
        <v>3</v>
      </c>
      <c r="I51" t="s">
        <v>243</v>
      </c>
      <c r="J51" t="s">
        <v>3</v>
      </c>
      <c r="K51" t="s">
        <v>244</v>
      </c>
      <c r="L51">
        <v>1339</v>
      </c>
      <c r="N51">
        <v>1007</v>
      </c>
      <c r="O51" t="s">
        <v>47</v>
      </c>
      <c r="P51" t="s">
        <v>47</v>
      </c>
      <c r="Q51">
        <v>1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 t="s">
        <v>3</v>
      </c>
      <c r="AG51">
        <v>0</v>
      </c>
      <c r="AH51">
        <v>3</v>
      </c>
      <c r="AI51">
        <v>-1</v>
      </c>
      <c r="AJ51" t="s">
        <v>3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>
      <c r="A52">
        <f>ROW(Source!A80)</f>
        <v>80</v>
      </c>
      <c r="B52">
        <v>33985989</v>
      </c>
      <c r="C52">
        <v>33985978</v>
      </c>
      <c r="D52">
        <v>29983441</v>
      </c>
      <c r="E52">
        <v>29983435</v>
      </c>
      <c r="F52">
        <v>1</v>
      </c>
      <c r="G52">
        <v>29983435</v>
      </c>
      <c r="H52">
        <v>1</v>
      </c>
      <c r="I52" t="s">
        <v>171</v>
      </c>
      <c r="J52" t="s">
        <v>3</v>
      </c>
      <c r="K52" t="s">
        <v>172</v>
      </c>
      <c r="L52">
        <v>1191</v>
      </c>
      <c r="N52">
        <v>1013</v>
      </c>
      <c r="O52" t="s">
        <v>173</v>
      </c>
      <c r="P52" t="s">
        <v>173</v>
      </c>
      <c r="Q52">
        <v>1</v>
      </c>
      <c r="X52">
        <v>116.59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1</v>
      </c>
      <c r="AF52" t="s">
        <v>3</v>
      </c>
      <c r="AG52">
        <v>116.59</v>
      </c>
      <c r="AH52">
        <v>2</v>
      </c>
      <c r="AI52">
        <v>33985979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>
      <c r="A53">
        <f>ROW(Source!A80)</f>
        <v>80</v>
      </c>
      <c r="B53">
        <v>33985990</v>
      </c>
      <c r="C53">
        <v>33985978</v>
      </c>
      <c r="D53">
        <v>30063988</v>
      </c>
      <c r="E53">
        <v>1</v>
      </c>
      <c r="F53">
        <v>1</v>
      </c>
      <c r="G53">
        <v>29983435</v>
      </c>
      <c r="H53">
        <v>2</v>
      </c>
      <c r="I53" t="s">
        <v>211</v>
      </c>
      <c r="J53" t="s">
        <v>212</v>
      </c>
      <c r="K53" t="s">
        <v>213</v>
      </c>
      <c r="L53">
        <v>1367</v>
      </c>
      <c r="N53">
        <v>1011</v>
      </c>
      <c r="O53" t="s">
        <v>177</v>
      </c>
      <c r="P53" t="s">
        <v>177</v>
      </c>
      <c r="Q53">
        <v>1</v>
      </c>
      <c r="X53">
        <v>3.28</v>
      </c>
      <c r="Y53">
        <v>0</v>
      </c>
      <c r="Z53">
        <v>17.420000000000002</v>
      </c>
      <c r="AA53">
        <v>0.15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3.28</v>
      </c>
      <c r="AH53">
        <v>2</v>
      </c>
      <c r="AI53">
        <v>33985980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>
      <c r="A54">
        <f>ROW(Source!A80)</f>
        <v>80</v>
      </c>
      <c r="B54">
        <v>33985991</v>
      </c>
      <c r="C54">
        <v>33985978</v>
      </c>
      <c r="D54">
        <v>30064095</v>
      </c>
      <c r="E54">
        <v>1</v>
      </c>
      <c r="F54">
        <v>1</v>
      </c>
      <c r="G54">
        <v>29983435</v>
      </c>
      <c r="H54">
        <v>2</v>
      </c>
      <c r="I54" t="s">
        <v>214</v>
      </c>
      <c r="J54" t="s">
        <v>215</v>
      </c>
      <c r="K54" t="s">
        <v>216</v>
      </c>
      <c r="L54">
        <v>1367</v>
      </c>
      <c r="N54">
        <v>1011</v>
      </c>
      <c r="O54" t="s">
        <v>177</v>
      </c>
      <c r="P54" t="s">
        <v>177</v>
      </c>
      <c r="Q54">
        <v>1</v>
      </c>
      <c r="X54">
        <v>0.81</v>
      </c>
      <c r="Y54">
        <v>0</v>
      </c>
      <c r="Z54">
        <v>76.81</v>
      </c>
      <c r="AA54">
        <v>14.36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0.81</v>
      </c>
      <c r="AH54">
        <v>2</v>
      </c>
      <c r="AI54">
        <v>33985981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>
      <c r="A55">
        <f>ROW(Source!A80)</f>
        <v>80</v>
      </c>
      <c r="B55">
        <v>33985993</v>
      </c>
      <c r="C55">
        <v>33985978</v>
      </c>
      <c r="D55">
        <v>30064155</v>
      </c>
      <c r="E55">
        <v>1</v>
      </c>
      <c r="F55">
        <v>1</v>
      </c>
      <c r="G55">
        <v>29983435</v>
      </c>
      <c r="H55">
        <v>2</v>
      </c>
      <c r="I55" t="s">
        <v>217</v>
      </c>
      <c r="J55" t="s">
        <v>218</v>
      </c>
      <c r="K55" t="s">
        <v>219</v>
      </c>
      <c r="L55">
        <v>1367</v>
      </c>
      <c r="N55">
        <v>1011</v>
      </c>
      <c r="O55" t="s">
        <v>177</v>
      </c>
      <c r="P55" t="s">
        <v>177</v>
      </c>
      <c r="Q55">
        <v>1</v>
      </c>
      <c r="X55">
        <v>1.74</v>
      </c>
      <c r="Y55">
        <v>0</v>
      </c>
      <c r="Z55">
        <v>0.81</v>
      </c>
      <c r="AA55">
        <v>0.03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1.74</v>
      </c>
      <c r="AH55">
        <v>2</v>
      </c>
      <c r="AI55">
        <v>33985983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>
      <c r="A56">
        <f>ROW(Source!A80)</f>
        <v>80</v>
      </c>
      <c r="B56">
        <v>33985992</v>
      </c>
      <c r="C56">
        <v>33985978</v>
      </c>
      <c r="D56">
        <v>30063337</v>
      </c>
      <c r="E56">
        <v>1</v>
      </c>
      <c r="F56">
        <v>1</v>
      </c>
      <c r="G56">
        <v>29983435</v>
      </c>
      <c r="H56">
        <v>2</v>
      </c>
      <c r="I56" t="s">
        <v>220</v>
      </c>
      <c r="J56" t="s">
        <v>221</v>
      </c>
      <c r="K56" t="s">
        <v>222</v>
      </c>
      <c r="L56">
        <v>1367</v>
      </c>
      <c r="N56">
        <v>1011</v>
      </c>
      <c r="O56" t="s">
        <v>177</v>
      </c>
      <c r="P56" t="s">
        <v>177</v>
      </c>
      <c r="Q56">
        <v>1</v>
      </c>
      <c r="X56">
        <v>0.81</v>
      </c>
      <c r="Y56">
        <v>0</v>
      </c>
      <c r="Z56">
        <v>190.93</v>
      </c>
      <c r="AA56">
        <v>18.149999999999999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0.81</v>
      </c>
      <c r="AH56">
        <v>2</v>
      </c>
      <c r="AI56">
        <v>33985982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>
      <c r="A57">
        <f>ROW(Source!A80)</f>
        <v>80</v>
      </c>
      <c r="B57">
        <v>33985994</v>
      </c>
      <c r="C57">
        <v>33985978</v>
      </c>
      <c r="D57">
        <v>29983439</v>
      </c>
      <c r="E57">
        <v>29983435</v>
      </c>
      <c r="F57">
        <v>1</v>
      </c>
      <c r="G57">
        <v>29983435</v>
      </c>
      <c r="H57">
        <v>2</v>
      </c>
      <c r="I57" t="s">
        <v>223</v>
      </c>
      <c r="J57" t="s">
        <v>3</v>
      </c>
      <c r="K57" t="s">
        <v>224</v>
      </c>
      <c r="L57">
        <v>1344</v>
      </c>
      <c r="N57">
        <v>1008</v>
      </c>
      <c r="O57" t="s">
        <v>225</v>
      </c>
      <c r="P57" t="s">
        <v>225</v>
      </c>
      <c r="Q57">
        <v>1</v>
      </c>
      <c r="X57">
        <v>0.01</v>
      </c>
      <c r="Y57">
        <v>0</v>
      </c>
      <c r="Z57">
        <v>1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0.01</v>
      </c>
      <c r="AH57">
        <v>2</v>
      </c>
      <c r="AI57">
        <v>33985984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>
      <c r="A58">
        <f>ROW(Source!A80)</f>
        <v>80</v>
      </c>
      <c r="B58">
        <v>33985995</v>
      </c>
      <c r="C58">
        <v>33985978</v>
      </c>
      <c r="D58">
        <v>30041978</v>
      </c>
      <c r="E58">
        <v>1</v>
      </c>
      <c r="F58">
        <v>1</v>
      </c>
      <c r="G58">
        <v>29983435</v>
      </c>
      <c r="H58">
        <v>3</v>
      </c>
      <c r="I58" t="s">
        <v>45</v>
      </c>
      <c r="J58" t="s">
        <v>48</v>
      </c>
      <c r="K58" t="s">
        <v>46</v>
      </c>
      <c r="L58">
        <v>1339</v>
      </c>
      <c r="N58">
        <v>1007</v>
      </c>
      <c r="O58" t="s">
        <v>47</v>
      </c>
      <c r="P58" t="s">
        <v>47</v>
      </c>
      <c r="Q58">
        <v>1</v>
      </c>
      <c r="X58">
        <v>0.21</v>
      </c>
      <c r="Y58">
        <v>104.99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0.21</v>
      </c>
      <c r="AH58">
        <v>2</v>
      </c>
      <c r="AI58">
        <v>33985985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>
      <c r="A59">
        <f>ROW(Source!A80)</f>
        <v>80</v>
      </c>
      <c r="B59">
        <v>33985996</v>
      </c>
      <c r="C59">
        <v>33985978</v>
      </c>
      <c r="D59">
        <v>29987412</v>
      </c>
      <c r="E59">
        <v>29983435</v>
      </c>
      <c r="F59">
        <v>1</v>
      </c>
      <c r="G59">
        <v>29983435</v>
      </c>
      <c r="H59">
        <v>3</v>
      </c>
      <c r="I59" t="s">
        <v>247</v>
      </c>
      <c r="J59" t="s">
        <v>3</v>
      </c>
      <c r="K59" t="s">
        <v>248</v>
      </c>
      <c r="L59">
        <v>1354</v>
      </c>
      <c r="N59">
        <v>1010</v>
      </c>
      <c r="O59" t="s">
        <v>141</v>
      </c>
      <c r="P59" t="s">
        <v>141</v>
      </c>
      <c r="Q59">
        <v>1</v>
      </c>
      <c r="X59">
        <v>1.5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 t="s">
        <v>3</v>
      </c>
      <c r="AG59">
        <v>1.5</v>
      </c>
      <c r="AH59">
        <v>3</v>
      </c>
      <c r="AI59">
        <v>-1</v>
      </c>
      <c r="AJ59" t="s">
        <v>3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>
      <c r="A60">
        <f>ROW(Source!A80)</f>
        <v>80</v>
      </c>
      <c r="B60">
        <v>33985997</v>
      </c>
      <c r="C60">
        <v>33985978</v>
      </c>
      <c r="D60">
        <v>29984258</v>
      </c>
      <c r="E60">
        <v>29983435</v>
      </c>
      <c r="F60">
        <v>1</v>
      </c>
      <c r="G60">
        <v>29983435</v>
      </c>
      <c r="H60">
        <v>3</v>
      </c>
      <c r="I60" t="s">
        <v>249</v>
      </c>
      <c r="J60" t="s">
        <v>3</v>
      </c>
      <c r="K60" t="s">
        <v>250</v>
      </c>
      <c r="L60">
        <v>1348</v>
      </c>
      <c r="N60">
        <v>1009</v>
      </c>
      <c r="O60" t="s">
        <v>67</v>
      </c>
      <c r="P60" t="s">
        <v>67</v>
      </c>
      <c r="Q60">
        <v>1000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 t="s">
        <v>3</v>
      </c>
      <c r="AG60">
        <v>0</v>
      </c>
      <c r="AH60">
        <v>3</v>
      </c>
      <c r="AI60">
        <v>-1</v>
      </c>
      <c r="AJ60" t="s">
        <v>3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>
      <c r="A61">
        <f>ROW(Source!A80)</f>
        <v>80</v>
      </c>
      <c r="B61">
        <v>33985998</v>
      </c>
      <c r="C61">
        <v>33985978</v>
      </c>
      <c r="D61">
        <v>29987410</v>
      </c>
      <c r="E61">
        <v>29983435</v>
      </c>
      <c r="F61">
        <v>1</v>
      </c>
      <c r="G61">
        <v>29983435</v>
      </c>
      <c r="H61">
        <v>3</v>
      </c>
      <c r="I61" t="s">
        <v>251</v>
      </c>
      <c r="J61" t="s">
        <v>3</v>
      </c>
      <c r="K61" t="s">
        <v>252</v>
      </c>
      <c r="L61">
        <v>1327</v>
      </c>
      <c r="N61">
        <v>1005</v>
      </c>
      <c r="O61" t="s">
        <v>146</v>
      </c>
      <c r="P61" t="s">
        <v>146</v>
      </c>
      <c r="Q61">
        <v>1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 t="s">
        <v>3</v>
      </c>
      <c r="AG61">
        <v>0</v>
      </c>
      <c r="AH61">
        <v>3</v>
      </c>
      <c r="AI61">
        <v>-1</v>
      </c>
      <c r="AJ61" t="s">
        <v>3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>
      <c r="A62">
        <f>ROW(Source!A119)</f>
        <v>119</v>
      </c>
      <c r="B62">
        <v>33986011</v>
      </c>
      <c r="C62">
        <v>33986002</v>
      </c>
      <c r="D62">
        <v>29983441</v>
      </c>
      <c r="E62">
        <v>29983435</v>
      </c>
      <c r="F62">
        <v>1</v>
      </c>
      <c r="G62">
        <v>29983435</v>
      </c>
      <c r="H62">
        <v>1</v>
      </c>
      <c r="I62" t="s">
        <v>171</v>
      </c>
      <c r="J62" t="s">
        <v>3</v>
      </c>
      <c r="K62" t="s">
        <v>172</v>
      </c>
      <c r="L62">
        <v>1191</v>
      </c>
      <c r="N62">
        <v>1013</v>
      </c>
      <c r="O62" t="s">
        <v>173</v>
      </c>
      <c r="P62" t="s">
        <v>173</v>
      </c>
      <c r="Q62">
        <v>1</v>
      </c>
      <c r="X62">
        <v>14.4</v>
      </c>
      <c r="Y62">
        <v>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1</v>
      </c>
      <c r="AF62" t="s">
        <v>3</v>
      </c>
      <c r="AG62">
        <v>14.4</v>
      </c>
      <c r="AH62">
        <v>2</v>
      </c>
      <c r="AI62">
        <v>33986003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>
      <c r="A63">
        <f>ROW(Source!A119)</f>
        <v>119</v>
      </c>
      <c r="B63">
        <v>33986012</v>
      </c>
      <c r="C63">
        <v>33986002</v>
      </c>
      <c r="D63">
        <v>30063290</v>
      </c>
      <c r="E63">
        <v>1</v>
      </c>
      <c r="F63">
        <v>1</v>
      </c>
      <c r="G63">
        <v>29983435</v>
      </c>
      <c r="H63">
        <v>2</v>
      </c>
      <c r="I63" t="s">
        <v>181</v>
      </c>
      <c r="J63" t="s">
        <v>182</v>
      </c>
      <c r="K63" t="s">
        <v>183</v>
      </c>
      <c r="L63">
        <v>1367</v>
      </c>
      <c r="N63">
        <v>1011</v>
      </c>
      <c r="O63" t="s">
        <v>177</v>
      </c>
      <c r="P63" t="s">
        <v>177</v>
      </c>
      <c r="Q63">
        <v>1</v>
      </c>
      <c r="X63">
        <v>1.66</v>
      </c>
      <c r="Y63">
        <v>0</v>
      </c>
      <c r="Z63">
        <v>116.89</v>
      </c>
      <c r="AA63">
        <v>23.41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1.66</v>
      </c>
      <c r="AH63">
        <v>2</v>
      </c>
      <c r="AI63">
        <v>33986004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>
      <c r="A64">
        <f>ROW(Source!A119)</f>
        <v>119</v>
      </c>
      <c r="B64">
        <v>33986013</v>
      </c>
      <c r="C64">
        <v>33986002</v>
      </c>
      <c r="D64">
        <v>30063515</v>
      </c>
      <c r="E64">
        <v>1</v>
      </c>
      <c r="F64">
        <v>1</v>
      </c>
      <c r="G64">
        <v>29983435</v>
      </c>
      <c r="H64">
        <v>2</v>
      </c>
      <c r="I64" t="s">
        <v>184</v>
      </c>
      <c r="J64" t="s">
        <v>185</v>
      </c>
      <c r="K64" t="s">
        <v>186</v>
      </c>
      <c r="L64">
        <v>1367</v>
      </c>
      <c r="N64">
        <v>1011</v>
      </c>
      <c r="O64" t="s">
        <v>177</v>
      </c>
      <c r="P64" t="s">
        <v>177</v>
      </c>
      <c r="Q64">
        <v>1</v>
      </c>
      <c r="X64">
        <v>1.66</v>
      </c>
      <c r="Y64">
        <v>0</v>
      </c>
      <c r="Z64">
        <v>62.97</v>
      </c>
      <c r="AA64">
        <v>6.64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1.66</v>
      </c>
      <c r="AH64">
        <v>2</v>
      </c>
      <c r="AI64">
        <v>33986005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>
      <c r="A65">
        <f>ROW(Source!A119)</f>
        <v>119</v>
      </c>
      <c r="B65">
        <v>33986014</v>
      </c>
      <c r="C65">
        <v>33986002</v>
      </c>
      <c r="D65">
        <v>30063518</v>
      </c>
      <c r="E65">
        <v>1</v>
      </c>
      <c r="F65">
        <v>1</v>
      </c>
      <c r="G65">
        <v>29983435</v>
      </c>
      <c r="H65">
        <v>2</v>
      </c>
      <c r="I65" t="s">
        <v>187</v>
      </c>
      <c r="J65" t="s">
        <v>188</v>
      </c>
      <c r="K65" t="s">
        <v>189</v>
      </c>
      <c r="L65">
        <v>1367</v>
      </c>
      <c r="N65">
        <v>1011</v>
      </c>
      <c r="O65" t="s">
        <v>177</v>
      </c>
      <c r="P65" t="s">
        <v>177</v>
      </c>
      <c r="Q65">
        <v>1</v>
      </c>
      <c r="X65">
        <v>0.65</v>
      </c>
      <c r="Y65">
        <v>0</v>
      </c>
      <c r="Z65">
        <v>140.58000000000001</v>
      </c>
      <c r="AA65">
        <v>28.61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0.65</v>
      </c>
      <c r="AH65">
        <v>2</v>
      </c>
      <c r="AI65">
        <v>33986006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>
      <c r="A66">
        <f>ROW(Source!A119)</f>
        <v>119</v>
      </c>
      <c r="B66">
        <v>33986015</v>
      </c>
      <c r="C66">
        <v>33986002</v>
      </c>
      <c r="D66">
        <v>30063546</v>
      </c>
      <c r="E66">
        <v>1</v>
      </c>
      <c r="F66">
        <v>1</v>
      </c>
      <c r="G66">
        <v>29983435</v>
      </c>
      <c r="H66">
        <v>2</v>
      </c>
      <c r="I66" t="s">
        <v>190</v>
      </c>
      <c r="J66" t="s">
        <v>191</v>
      </c>
      <c r="K66" t="s">
        <v>192</v>
      </c>
      <c r="L66">
        <v>1367</v>
      </c>
      <c r="N66">
        <v>1011</v>
      </c>
      <c r="O66" t="s">
        <v>177</v>
      </c>
      <c r="P66" t="s">
        <v>177</v>
      </c>
      <c r="Q66">
        <v>1</v>
      </c>
      <c r="X66">
        <v>1.55</v>
      </c>
      <c r="Y66">
        <v>0</v>
      </c>
      <c r="Z66">
        <v>125.13</v>
      </c>
      <c r="AA66">
        <v>24.74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1.55</v>
      </c>
      <c r="AH66">
        <v>2</v>
      </c>
      <c r="AI66">
        <v>33986007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>
      <c r="A67">
        <f>ROW(Source!A119)</f>
        <v>119</v>
      </c>
      <c r="B67">
        <v>33986016</v>
      </c>
      <c r="C67">
        <v>33986002</v>
      </c>
      <c r="D67">
        <v>30063508</v>
      </c>
      <c r="E67">
        <v>1</v>
      </c>
      <c r="F67">
        <v>1</v>
      </c>
      <c r="G67">
        <v>29983435</v>
      </c>
      <c r="H67">
        <v>2</v>
      </c>
      <c r="I67" t="s">
        <v>193</v>
      </c>
      <c r="J67" t="s">
        <v>194</v>
      </c>
      <c r="K67" t="s">
        <v>195</v>
      </c>
      <c r="L67">
        <v>1367</v>
      </c>
      <c r="N67">
        <v>1011</v>
      </c>
      <c r="O67" t="s">
        <v>177</v>
      </c>
      <c r="P67" t="s">
        <v>177</v>
      </c>
      <c r="Q67">
        <v>1</v>
      </c>
      <c r="X67">
        <v>0.52</v>
      </c>
      <c r="Y67">
        <v>0</v>
      </c>
      <c r="Z67">
        <v>178.02</v>
      </c>
      <c r="AA67">
        <v>23.5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0.52</v>
      </c>
      <c r="AH67">
        <v>2</v>
      </c>
      <c r="AI67">
        <v>33986008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>
      <c r="A68">
        <f>ROW(Source!A119)</f>
        <v>119</v>
      </c>
      <c r="B68">
        <v>33986017</v>
      </c>
      <c r="C68">
        <v>33986002</v>
      </c>
      <c r="D68">
        <v>30042537</v>
      </c>
      <c r="E68">
        <v>1</v>
      </c>
      <c r="F68">
        <v>1</v>
      </c>
      <c r="G68">
        <v>29983435</v>
      </c>
      <c r="H68">
        <v>3</v>
      </c>
      <c r="I68" t="s">
        <v>196</v>
      </c>
      <c r="J68" t="s">
        <v>197</v>
      </c>
      <c r="K68" t="s">
        <v>198</v>
      </c>
      <c r="L68">
        <v>1339</v>
      </c>
      <c r="N68">
        <v>1007</v>
      </c>
      <c r="O68" t="s">
        <v>47</v>
      </c>
      <c r="P68" t="s">
        <v>47</v>
      </c>
      <c r="Q68">
        <v>1</v>
      </c>
      <c r="X68">
        <v>5</v>
      </c>
      <c r="Y68">
        <v>7.07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5</v>
      </c>
      <c r="AH68">
        <v>2</v>
      </c>
      <c r="AI68">
        <v>33986009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>
      <c r="A69">
        <f>ROW(Source!A119)</f>
        <v>119</v>
      </c>
      <c r="B69">
        <v>33986018</v>
      </c>
      <c r="C69">
        <v>33986002</v>
      </c>
      <c r="D69">
        <v>29984576</v>
      </c>
      <c r="E69">
        <v>29983435</v>
      </c>
      <c r="F69">
        <v>1</v>
      </c>
      <c r="G69">
        <v>29983435</v>
      </c>
      <c r="H69">
        <v>3</v>
      </c>
      <c r="I69" t="s">
        <v>241</v>
      </c>
      <c r="J69" t="s">
        <v>3</v>
      </c>
      <c r="K69" t="s">
        <v>242</v>
      </c>
      <c r="L69">
        <v>1339</v>
      </c>
      <c r="N69">
        <v>1007</v>
      </c>
      <c r="O69" t="s">
        <v>47</v>
      </c>
      <c r="P69" t="s">
        <v>47</v>
      </c>
      <c r="Q69">
        <v>1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 t="s">
        <v>3</v>
      </c>
      <c r="AG69">
        <v>0</v>
      </c>
      <c r="AH69">
        <v>3</v>
      </c>
      <c r="AI69">
        <v>-1</v>
      </c>
      <c r="AJ69" t="s">
        <v>3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>
      <c r="A70">
        <f>ROW(Source!A121)</f>
        <v>121</v>
      </c>
      <c r="B70">
        <v>33986030</v>
      </c>
      <c r="C70">
        <v>33986020</v>
      </c>
      <c r="D70">
        <v>29983441</v>
      </c>
      <c r="E70">
        <v>29983435</v>
      </c>
      <c r="F70">
        <v>1</v>
      </c>
      <c r="G70">
        <v>29983435</v>
      </c>
      <c r="H70">
        <v>1</v>
      </c>
      <c r="I70" t="s">
        <v>171</v>
      </c>
      <c r="J70" t="s">
        <v>3</v>
      </c>
      <c r="K70" t="s">
        <v>172</v>
      </c>
      <c r="L70">
        <v>1191</v>
      </c>
      <c r="N70">
        <v>1013</v>
      </c>
      <c r="O70" t="s">
        <v>173</v>
      </c>
      <c r="P70" t="s">
        <v>173</v>
      </c>
      <c r="Q70">
        <v>1</v>
      </c>
      <c r="X70">
        <v>63.44</v>
      </c>
      <c r="Y70">
        <v>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1</v>
      </c>
      <c r="AF70" t="s">
        <v>3</v>
      </c>
      <c r="AG70">
        <v>63.44</v>
      </c>
      <c r="AH70">
        <v>2</v>
      </c>
      <c r="AI70">
        <v>33986021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>
      <c r="A71">
        <f>ROW(Source!A121)</f>
        <v>121</v>
      </c>
      <c r="B71">
        <v>33986031</v>
      </c>
      <c r="C71">
        <v>33986020</v>
      </c>
      <c r="D71">
        <v>30064095</v>
      </c>
      <c r="E71">
        <v>1</v>
      </c>
      <c r="F71">
        <v>1</v>
      </c>
      <c r="G71">
        <v>29983435</v>
      </c>
      <c r="H71">
        <v>2</v>
      </c>
      <c r="I71" t="s">
        <v>214</v>
      </c>
      <c r="J71" t="s">
        <v>215</v>
      </c>
      <c r="K71" t="s">
        <v>216</v>
      </c>
      <c r="L71">
        <v>1367</v>
      </c>
      <c r="N71">
        <v>1011</v>
      </c>
      <c r="O71" t="s">
        <v>177</v>
      </c>
      <c r="P71" t="s">
        <v>177</v>
      </c>
      <c r="Q71">
        <v>1</v>
      </c>
      <c r="X71">
        <v>0.14000000000000001</v>
      </c>
      <c r="Y71">
        <v>0</v>
      </c>
      <c r="Z71">
        <v>76.81</v>
      </c>
      <c r="AA71">
        <v>14.36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0.14000000000000001</v>
      </c>
      <c r="AH71">
        <v>2</v>
      </c>
      <c r="AI71">
        <v>33986022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>
      <c r="A72">
        <f>ROW(Source!A121)</f>
        <v>121</v>
      </c>
      <c r="B72">
        <v>33986032</v>
      </c>
      <c r="C72">
        <v>33986020</v>
      </c>
      <c r="D72">
        <v>30063337</v>
      </c>
      <c r="E72">
        <v>1</v>
      </c>
      <c r="F72">
        <v>1</v>
      </c>
      <c r="G72">
        <v>29983435</v>
      </c>
      <c r="H72">
        <v>2</v>
      </c>
      <c r="I72" t="s">
        <v>220</v>
      </c>
      <c r="J72" t="s">
        <v>221</v>
      </c>
      <c r="K72" t="s">
        <v>222</v>
      </c>
      <c r="L72">
        <v>1367</v>
      </c>
      <c r="N72">
        <v>1011</v>
      </c>
      <c r="O72" t="s">
        <v>177</v>
      </c>
      <c r="P72" t="s">
        <v>177</v>
      </c>
      <c r="Q72">
        <v>1</v>
      </c>
      <c r="X72">
        <v>0.14000000000000001</v>
      </c>
      <c r="Y72">
        <v>0</v>
      </c>
      <c r="Z72">
        <v>190.93</v>
      </c>
      <c r="AA72">
        <v>18.149999999999999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0.14000000000000001</v>
      </c>
      <c r="AH72">
        <v>2</v>
      </c>
      <c r="AI72">
        <v>33986023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>
      <c r="A73">
        <f>ROW(Source!A121)</f>
        <v>121</v>
      </c>
      <c r="B73">
        <v>33986033</v>
      </c>
      <c r="C73">
        <v>33986020</v>
      </c>
      <c r="D73">
        <v>30063432</v>
      </c>
      <c r="E73">
        <v>1</v>
      </c>
      <c r="F73">
        <v>1</v>
      </c>
      <c r="G73">
        <v>29983435</v>
      </c>
      <c r="H73">
        <v>2</v>
      </c>
      <c r="I73" t="s">
        <v>226</v>
      </c>
      <c r="J73" t="s">
        <v>227</v>
      </c>
      <c r="K73" t="s">
        <v>228</v>
      </c>
      <c r="L73">
        <v>1367</v>
      </c>
      <c r="N73">
        <v>1011</v>
      </c>
      <c r="O73" t="s">
        <v>177</v>
      </c>
      <c r="P73" t="s">
        <v>177</v>
      </c>
      <c r="Q73">
        <v>1</v>
      </c>
      <c r="X73">
        <v>0.22</v>
      </c>
      <c r="Y73">
        <v>0</v>
      </c>
      <c r="Z73">
        <v>73</v>
      </c>
      <c r="AA73">
        <v>16.899999999999999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0.22</v>
      </c>
      <c r="AH73">
        <v>2</v>
      </c>
      <c r="AI73">
        <v>33986024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>
      <c r="A74">
        <f>ROW(Source!A121)</f>
        <v>121</v>
      </c>
      <c r="B74">
        <v>33986034</v>
      </c>
      <c r="C74">
        <v>33986020</v>
      </c>
      <c r="D74">
        <v>30042524</v>
      </c>
      <c r="E74">
        <v>1</v>
      </c>
      <c r="F74">
        <v>1</v>
      </c>
      <c r="G74">
        <v>29983435</v>
      </c>
      <c r="H74">
        <v>3</v>
      </c>
      <c r="I74" t="s">
        <v>229</v>
      </c>
      <c r="J74" t="s">
        <v>230</v>
      </c>
      <c r="K74" t="s">
        <v>231</v>
      </c>
      <c r="L74">
        <v>1348</v>
      </c>
      <c r="N74">
        <v>1009</v>
      </c>
      <c r="O74" t="s">
        <v>67</v>
      </c>
      <c r="P74" t="s">
        <v>67</v>
      </c>
      <c r="Q74">
        <v>1000</v>
      </c>
      <c r="X74">
        <v>1E-3</v>
      </c>
      <c r="Y74">
        <v>6521.42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1E-3</v>
      </c>
      <c r="AH74">
        <v>2</v>
      </c>
      <c r="AI74">
        <v>33986025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>
      <c r="A75">
        <f>ROW(Source!A121)</f>
        <v>121</v>
      </c>
      <c r="B75">
        <v>33986035</v>
      </c>
      <c r="C75">
        <v>33986020</v>
      </c>
      <c r="D75">
        <v>30042430</v>
      </c>
      <c r="E75">
        <v>1</v>
      </c>
      <c r="F75">
        <v>1</v>
      </c>
      <c r="G75">
        <v>29983435</v>
      </c>
      <c r="H75">
        <v>3</v>
      </c>
      <c r="I75" t="s">
        <v>232</v>
      </c>
      <c r="J75" t="s">
        <v>233</v>
      </c>
      <c r="K75" t="s">
        <v>234</v>
      </c>
      <c r="L75">
        <v>1339</v>
      </c>
      <c r="N75">
        <v>1007</v>
      </c>
      <c r="O75" t="s">
        <v>47</v>
      </c>
      <c r="P75" t="s">
        <v>47</v>
      </c>
      <c r="Q75">
        <v>1</v>
      </c>
      <c r="X75">
        <v>0.17</v>
      </c>
      <c r="Y75">
        <v>1828.56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0.17</v>
      </c>
      <c r="AH75">
        <v>2</v>
      </c>
      <c r="AI75">
        <v>33986026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>
      <c r="A76">
        <f>ROW(Source!A121)</f>
        <v>121</v>
      </c>
      <c r="B76">
        <v>33986036</v>
      </c>
      <c r="C76">
        <v>33986020</v>
      </c>
      <c r="D76">
        <v>30057410</v>
      </c>
      <c r="E76">
        <v>1</v>
      </c>
      <c r="F76">
        <v>1</v>
      </c>
      <c r="G76">
        <v>29983435</v>
      </c>
      <c r="H76">
        <v>3</v>
      </c>
      <c r="I76" t="s">
        <v>235</v>
      </c>
      <c r="J76" t="s">
        <v>236</v>
      </c>
      <c r="K76" t="s">
        <v>237</v>
      </c>
      <c r="L76">
        <v>1339</v>
      </c>
      <c r="N76">
        <v>1007</v>
      </c>
      <c r="O76" t="s">
        <v>47</v>
      </c>
      <c r="P76" t="s">
        <v>47</v>
      </c>
      <c r="Q76">
        <v>1</v>
      </c>
      <c r="X76">
        <v>4.8</v>
      </c>
      <c r="Y76">
        <v>704.89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4.8</v>
      </c>
      <c r="AH76">
        <v>2</v>
      </c>
      <c r="AI76">
        <v>33986027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>
      <c r="A77">
        <f>ROW(Source!A121)</f>
        <v>121</v>
      </c>
      <c r="B77">
        <v>33986037</v>
      </c>
      <c r="C77">
        <v>33986020</v>
      </c>
      <c r="D77">
        <v>30057544</v>
      </c>
      <c r="E77">
        <v>1</v>
      </c>
      <c r="F77">
        <v>1</v>
      </c>
      <c r="G77">
        <v>29983435</v>
      </c>
      <c r="H77">
        <v>3</v>
      </c>
      <c r="I77" t="s">
        <v>238</v>
      </c>
      <c r="J77" t="s">
        <v>239</v>
      </c>
      <c r="K77" t="s">
        <v>240</v>
      </c>
      <c r="L77">
        <v>1339</v>
      </c>
      <c r="N77">
        <v>1007</v>
      </c>
      <c r="O77" t="s">
        <v>47</v>
      </c>
      <c r="P77" t="s">
        <v>47</v>
      </c>
      <c r="Q77">
        <v>1</v>
      </c>
      <c r="X77">
        <v>0.02</v>
      </c>
      <c r="Y77">
        <v>451.14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0.02</v>
      </c>
      <c r="AH77">
        <v>2</v>
      </c>
      <c r="AI77">
        <v>33986028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>
      <c r="A78">
        <f>ROW(Source!A121)</f>
        <v>121</v>
      </c>
      <c r="B78">
        <v>33986038</v>
      </c>
      <c r="C78">
        <v>33986020</v>
      </c>
      <c r="D78">
        <v>29987235</v>
      </c>
      <c r="E78">
        <v>29983435</v>
      </c>
      <c r="F78">
        <v>1</v>
      </c>
      <c r="G78">
        <v>29983435</v>
      </c>
      <c r="H78">
        <v>3</v>
      </c>
      <c r="I78" t="s">
        <v>253</v>
      </c>
      <c r="J78" t="s">
        <v>3</v>
      </c>
      <c r="K78" t="s">
        <v>254</v>
      </c>
      <c r="L78">
        <v>1339</v>
      </c>
      <c r="N78">
        <v>1007</v>
      </c>
      <c r="O78" t="s">
        <v>47</v>
      </c>
      <c r="P78" t="s">
        <v>47</v>
      </c>
      <c r="Q78">
        <v>1</v>
      </c>
      <c r="X78">
        <v>1.6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 t="s">
        <v>3</v>
      </c>
      <c r="AG78">
        <v>1.6</v>
      </c>
      <c r="AH78">
        <v>3</v>
      </c>
      <c r="AI78">
        <v>-1</v>
      </c>
      <c r="AJ78" t="s">
        <v>3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Смета по ТСН-2001</vt:lpstr>
      <vt:lpstr>Ведомость объемов работ</vt:lpstr>
      <vt:lpstr>Объектная смета</vt:lpstr>
      <vt:lpstr>RV_DATA</vt:lpstr>
      <vt:lpstr>Расчет стоимости ресурсов</vt:lpstr>
      <vt:lpstr>Source</vt:lpstr>
      <vt:lpstr>SourceObSm</vt:lpstr>
      <vt:lpstr>SmtRes</vt:lpstr>
      <vt:lpstr>EtalonRes</vt:lpstr>
      <vt:lpstr>'Ведомость объемов работ'!Заголовки_для_печати</vt:lpstr>
      <vt:lpstr>'Объектная смета'!Заголовки_для_печати</vt:lpstr>
      <vt:lpstr>'Расчет стоимости ресурсов'!Заголовки_для_печати</vt:lpstr>
      <vt:lpstr>'Смета по ТСН-2001'!Заголовки_для_печати</vt:lpstr>
      <vt:lpstr>'Ведомость объемов работ'!Область_печати</vt:lpstr>
      <vt:lpstr>'Расчет стоимости ресурсов'!Область_печати</vt:lpstr>
      <vt:lpstr>'Смета по ТСН-2001'!Область_печати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ИРИШИК</cp:lastModifiedBy>
  <dcterms:created xsi:type="dcterms:W3CDTF">2021-03-03T13:32:03Z</dcterms:created>
  <dcterms:modified xsi:type="dcterms:W3CDTF">2021-03-03T13:35:43Z</dcterms:modified>
</cp:coreProperties>
</file>