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Сметный\Анищенкова\2020\!Поручения\ДРУ\19.02.2020 Краснохолмская наб. 1_15\"/>
    </mc:Choice>
  </mc:AlternateContent>
  <bookViews>
    <workbookView xWindow="0" yWindow="0" windowWidth="38400" windowHeight="17685"/>
  </bookViews>
  <sheets>
    <sheet name="Смета СН-2012 по гл. 1-5" sheetId="5" r:id="rId1"/>
    <sheet name="Ведомость объемов работ" sheetId="6" r:id="rId2"/>
    <sheet name="RV_DATA" sheetId="8" state="hidden" r:id="rId3"/>
    <sheet name="Расчет стоимости ресурсов" sheetId="7" r:id="rId4"/>
    <sheet name="Source" sheetId="1" r:id="rId5"/>
    <sheet name="SourceObSm" sheetId="2" r:id="rId6"/>
    <sheet name="SmtRes" sheetId="3" r:id="rId7"/>
    <sheet name="EtalonRes" sheetId="4" r:id="rId8"/>
  </sheets>
  <definedNames>
    <definedName name="_xlnm.Print_Titles" localSheetId="1">'Ведомость объемов работ'!$15:$15</definedName>
    <definedName name="_xlnm.Print_Titles" localSheetId="3">'Расчет стоимости ресурсов'!$4:$7</definedName>
    <definedName name="_xlnm.Print_Titles" localSheetId="0">'Смета СН-2012 по гл. 1-5'!$23:$23</definedName>
    <definedName name="_xlnm.Print_Area" localSheetId="1">'Ведомость объемов работ'!$A$1:$E$31</definedName>
    <definedName name="_xlnm.Print_Area" localSheetId="3">'Расчет стоимости ресурсов'!$A$1:$F$27</definedName>
    <definedName name="_xlnm.Print_Area" localSheetId="0">'Смета СН-2012 по гл. 1-5'!$A$1:$K$99</definedName>
  </definedNames>
  <calcPr calcId="152511"/>
</workbook>
</file>

<file path=xl/calcChain.xml><?xml version="1.0" encoding="utf-8"?>
<calcChain xmlns="http://schemas.openxmlformats.org/spreadsheetml/2006/main">
  <c r="E25" i="7" l="1"/>
  <c r="E24" i="7"/>
  <c r="E23" i="7"/>
  <c r="E22" i="7"/>
  <c r="A21" i="7"/>
  <c r="E19" i="7"/>
  <c r="F12" i="7"/>
  <c r="E12" i="7"/>
  <c r="D12" i="7"/>
  <c r="F17" i="7"/>
  <c r="E17" i="7"/>
  <c r="D17" i="7"/>
  <c r="F13" i="7"/>
  <c r="E13" i="7"/>
  <c r="D13" i="7"/>
  <c r="F9" i="7"/>
  <c r="E9" i="7"/>
  <c r="D9" i="7"/>
  <c r="F10" i="7"/>
  <c r="E10" i="7"/>
  <c r="D10" i="7"/>
  <c r="F11" i="7"/>
  <c r="E11" i="7"/>
  <c r="D11" i="7"/>
  <c r="F14" i="7"/>
  <c r="E14" i="7"/>
  <c r="D14" i="7"/>
  <c r="F16" i="7"/>
  <c r="E16" i="7"/>
  <c r="D16" i="7"/>
  <c r="F18" i="7"/>
  <c r="E18" i="7"/>
  <c r="D18" i="7"/>
  <c r="F15" i="7"/>
  <c r="E15" i="7"/>
  <c r="D15" i="7"/>
  <c r="A3" i="7"/>
  <c r="U19" i="8"/>
  <c r="T19" i="8"/>
  <c r="R19" i="8"/>
  <c r="Q19" i="8"/>
  <c r="S19" i="8"/>
  <c r="P19" i="8"/>
  <c r="O19" i="8"/>
  <c r="M19" i="8"/>
  <c r="L19" i="8"/>
  <c r="N19" i="8"/>
  <c r="K19" i="8"/>
  <c r="J19" i="8"/>
  <c r="I19" i="8"/>
  <c r="H19" i="8"/>
  <c r="G19" i="8"/>
  <c r="F19" i="8"/>
  <c r="E19" i="8"/>
  <c r="A19" i="8"/>
  <c r="U18" i="8"/>
  <c r="T18" i="8"/>
  <c r="R18" i="8"/>
  <c r="Q18" i="8"/>
  <c r="S18" i="8"/>
  <c r="P18" i="8"/>
  <c r="O18" i="8"/>
  <c r="M18" i="8"/>
  <c r="L18" i="8"/>
  <c r="N18" i="8"/>
  <c r="K18" i="8"/>
  <c r="J18" i="8"/>
  <c r="I18" i="8"/>
  <c r="H18" i="8"/>
  <c r="G18" i="8"/>
  <c r="F18" i="8"/>
  <c r="E18" i="8"/>
  <c r="A18" i="8"/>
  <c r="U17" i="8"/>
  <c r="T17" i="8"/>
  <c r="R17" i="8"/>
  <c r="Q17" i="8"/>
  <c r="S17" i="8"/>
  <c r="P17" i="8"/>
  <c r="O17" i="8"/>
  <c r="M17" i="8"/>
  <c r="L17" i="8"/>
  <c r="N17" i="8"/>
  <c r="K17" i="8"/>
  <c r="J17" i="8"/>
  <c r="I17" i="8"/>
  <c r="H17" i="8"/>
  <c r="G17" i="8"/>
  <c r="F17" i="8"/>
  <c r="E17" i="8"/>
  <c r="A17" i="8"/>
  <c r="U16" i="8"/>
  <c r="T16" i="8"/>
  <c r="R16" i="8"/>
  <c r="Q16" i="8"/>
  <c r="S16" i="8"/>
  <c r="P16" i="8"/>
  <c r="O16" i="8"/>
  <c r="M16" i="8"/>
  <c r="L16" i="8"/>
  <c r="N16" i="8"/>
  <c r="K16" i="8"/>
  <c r="J16" i="8"/>
  <c r="I16" i="8"/>
  <c r="H16" i="8"/>
  <c r="G16" i="8"/>
  <c r="F16" i="8"/>
  <c r="E16" i="8"/>
  <c r="A16" i="8"/>
  <c r="U15" i="8"/>
  <c r="T15" i="8"/>
  <c r="R15" i="8"/>
  <c r="Q15" i="8"/>
  <c r="S15" i="8"/>
  <c r="P15" i="8"/>
  <c r="O15" i="8"/>
  <c r="M15" i="8"/>
  <c r="L15" i="8"/>
  <c r="N15" i="8"/>
  <c r="K15" i="8"/>
  <c r="J15" i="8"/>
  <c r="I15" i="8"/>
  <c r="H15" i="8"/>
  <c r="G15" i="8"/>
  <c r="F15" i="8"/>
  <c r="E15" i="8"/>
  <c r="A15" i="8"/>
  <c r="U14" i="8"/>
  <c r="T14" i="8"/>
  <c r="R14" i="8"/>
  <c r="Q14" i="8"/>
  <c r="S14" i="8"/>
  <c r="P14" i="8"/>
  <c r="O14" i="8"/>
  <c r="M14" i="8"/>
  <c r="L14" i="8"/>
  <c r="N14" i="8"/>
  <c r="K14" i="8"/>
  <c r="J14" i="8"/>
  <c r="I14" i="8"/>
  <c r="H14" i="8"/>
  <c r="G14" i="8"/>
  <c r="F14" i="8"/>
  <c r="E14" i="8"/>
  <c r="A14" i="8"/>
  <c r="U13" i="8"/>
  <c r="T13" i="8"/>
  <c r="R13" i="8"/>
  <c r="Q13" i="8"/>
  <c r="S13" i="8"/>
  <c r="P13" i="8"/>
  <c r="O13" i="8"/>
  <c r="M13" i="8"/>
  <c r="L13" i="8"/>
  <c r="N13" i="8"/>
  <c r="K13" i="8"/>
  <c r="J13" i="8"/>
  <c r="I13" i="8"/>
  <c r="H13" i="8"/>
  <c r="G13" i="8"/>
  <c r="F13" i="8"/>
  <c r="E13" i="8"/>
  <c r="A13" i="8"/>
  <c r="U12" i="8"/>
  <c r="T12" i="8"/>
  <c r="R12" i="8"/>
  <c r="Q12" i="8"/>
  <c r="S12" i="8"/>
  <c r="P12" i="8"/>
  <c r="O12" i="8"/>
  <c r="M12" i="8"/>
  <c r="L12" i="8"/>
  <c r="N12" i="8"/>
  <c r="K12" i="8"/>
  <c r="J12" i="8"/>
  <c r="I12" i="8"/>
  <c r="H12" i="8"/>
  <c r="G12" i="8"/>
  <c r="F12" i="8"/>
  <c r="E12" i="8"/>
  <c r="A12" i="8"/>
  <c r="U11" i="8"/>
  <c r="T11" i="8"/>
  <c r="R11" i="8"/>
  <c r="Q11" i="8"/>
  <c r="S11" i="8"/>
  <c r="P11" i="8"/>
  <c r="O11" i="8"/>
  <c r="M11" i="8"/>
  <c r="L11" i="8"/>
  <c r="N11" i="8"/>
  <c r="K11" i="8"/>
  <c r="J11" i="8"/>
  <c r="I11" i="8"/>
  <c r="H11" i="8"/>
  <c r="G11" i="8"/>
  <c r="F11" i="8"/>
  <c r="E11" i="8"/>
  <c r="A11" i="8"/>
  <c r="U10" i="8"/>
  <c r="T10" i="8"/>
  <c r="R10" i="8"/>
  <c r="Q10" i="8"/>
  <c r="S10" i="8"/>
  <c r="P10" i="8"/>
  <c r="O10" i="8"/>
  <c r="M10" i="8"/>
  <c r="L10" i="8"/>
  <c r="N10" i="8"/>
  <c r="K10" i="8"/>
  <c r="J10" i="8"/>
  <c r="I10" i="8"/>
  <c r="H10" i="8"/>
  <c r="G10" i="8"/>
  <c r="F10" i="8"/>
  <c r="E10" i="8"/>
  <c r="A10" i="8"/>
  <c r="U9" i="8"/>
  <c r="T9" i="8"/>
  <c r="R9" i="8"/>
  <c r="Q9" i="8"/>
  <c r="S9" i="8"/>
  <c r="P9" i="8"/>
  <c r="O9" i="8"/>
  <c r="M9" i="8"/>
  <c r="L9" i="8"/>
  <c r="N9" i="8"/>
  <c r="K9" i="8"/>
  <c r="J9" i="8"/>
  <c r="I9" i="8"/>
  <c r="H9" i="8"/>
  <c r="G9" i="8"/>
  <c r="F9" i="8"/>
  <c r="E9" i="8"/>
  <c r="A9" i="8"/>
  <c r="U8" i="8"/>
  <c r="T8" i="8"/>
  <c r="R8" i="8"/>
  <c r="Q8" i="8"/>
  <c r="S8" i="8"/>
  <c r="P8" i="8"/>
  <c r="O8" i="8"/>
  <c r="M8" i="8"/>
  <c r="L8" i="8"/>
  <c r="N8" i="8"/>
  <c r="K8" i="8"/>
  <c r="J8" i="8"/>
  <c r="I8" i="8"/>
  <c r="H8" i="8"/>
  <c r="G8" i="8"/>
  <c r="F8" i="8"/>
  <c r="E8" i="8"/>
  <c r="A8" i="8"/>
  <c r="U7" i="8"/>
  <c r="T7" i="8"/>
  <c r="S7" i="8"/>
  <c r="R7" i="8"/>
  <c r="P7" i="8"/>
  <c r="O7" i="8"/>
  <c r="N7" i="8"/>
  <c r="M7" i="8"/>
  <c r="K7" i="8"/>
  <c r="I7" i="8"/>
  <c r="H7" i="8"/>
  <c r="G7" i="8"/>
  <c r="F7" i="8"/>
  <c r="E7" i="8"/>
  <c r="D7" i="8"/>
  <c r="A7" i="8"/>
  <c r="G6" i="8"/>
  <c r="A6" i="8"/>
  <c r="D26" i="6"/>
  <c r="C26" i="6"/>
  <c r="B26" i="6"/>
  <c r="A26" i="6"/>
  <c r="D25" i="6"/>
  <c r="C25" i="6"/>
  <c r="B25" i="6"/>
  <c r="A25" i="6"/>
  <c r="D24" i="6"/>
  <c r="C24" i="6"/>
  <c r="B24" i="6"/>
  <c r="A24" i="6"/>
  <c r="D23" i="6"/>
  <c r="C23" i="6"/>
  <c r="B23" i="6"/>
  <c r="A23" i="6"/>
  <c r="D22" i="6"/>
  <c r="C22" i="6"/>
  <c r="B22" i="6"/>
  <c r="A22" i="6"/>
  <c r="D21" i="6"/>
  <c r="C21" i="6"/>
  <c r="B21" i="6"/>
  <c r="A21" i="6"/>
  <c r="D20" i="6"/>
  <c r="C20" i="6"/>
  <c r="B20" i="6"/>
  <c r="A20" i="6"/>
  <c r="D19" i="6"/>
  <c r="C19" i="6"/>
  <c r="B19" i="6"/>
  <c r="A19" i="6"/>
  <c r="D18" i="6"/>
  <c r="C18" i="6"/>
  <c r="B18" i="6"/>
  <c r="A18" i="6"/>
  <c r="D17" i="6"/>
  <c r="C17" i="6"/>
  <c r="B17" i="6"/>
  <c r="A17" i="6"/>
  <c r="A16" i="6"/>
  <c r="AD12" i="6"/>
  <c r="A12" i="6"/>
  <c r="A11" i="6"/>
  <c r="A1" i="6"/>
  <c r="I98" i="5"/>
  <c r="C98" i="5"/>
  <c r="I97" i="5"/>
  <c r="I96" i="5"/>
  <c r="C96" i="5"/>
  <c r="I18" i="5"/>
  <c r="I17" i="5"/>
  <c r="I16" i="5"/>
  <c r="I15" i="5"/>
  <c r="I14" i="5"/>
  <c r="I13" i="5"/>
  <c r="AF95" i="5"/>
  <c r="I95" i="5"/>
  <c r="A95" i="5"/>
  <c r="I92" i="5"/>
  <c r="A92" i="5"/>
  <c r="K90" i="5"/>
  <c r="P90" i="5"/>
  <c r="I90" i="5"/>
  <c r="K89" i="5"/>
  <c r="H89" i="5"/>
  <c r="G89" i="5"/>
  <c r="E89" i="5"/>
  <c r="J88" i="5"/>
  <c r="E88" i="5"/>
  <c r="J87" i="5"/>
  <c r="E87" i="5"/>
  <c r="J86" i="5"/>
  <c r="I86" i="5"/>
  <c r="H86" i="5"/>
  <c r="G86" i="5"/>
  <c r="F86" i="5"/>
  <c r="J85" i="5"/>
  <c r="I85" i="5"/>
  <c r="H85" i="5"/>
  <c r="G85" i="5"/>
  <c r="F85" i="5"/>
  <c r="J84" i="5"/>
  <c r="I84" i="5"/>
  <c r="H84" i="5"/>
  <c r="G84" i="5"/>
  <c r="F84" i="5"/>
  <c r="J83" i="5"/>
  <c r="I83" i="5"/>
  <c r="H83" i="5"/>
  <c r="G83" i="5"/>
  <c r="F83" i="5"/>
  <c r="C82" i="5"/>
  <c r="V81" i="5"/>
  <c r="T81" i="5"/>
  <c r="R81" i="5"/>
  <c r="U81" i="5"/>
  <c r="S81" i="5"/>
  <c r="Q81" i="5"/>
  <c r="E81" i="5"/>
  <c r="D81" i="5"/>
  <c r="C81" i="5"/>
  <c r="B81" i="5"/>
  <c r="A81" i="5"/>
  <c r="K80" i="5"/>
  <c r="P80" i="5"/>
  <c r="I80" i="5"/>
  <c r="K79" i="5"/>
  <c r="H79" i="5"/>
  <c r="G79" i="5"/>
  <c r="E79" i="5"/>
  <c r="J78" i="5"/>
  <c r="E78" i="5"/>
  <c r="J77" i="5"/>
  <c r="I77" i="5"/>
  <c r="H77" i="5"/>
  <c r="G77" i="5"/>
  <c r="F77" i="5"/>
  <c r="J76" i="5"/>
  <c r="I76" i="5"/>
  <c r="H76" i="5"/>
  <c r="G76" i="5"/>
  <c r="F76" i="5"/>
  <c r="C75" i="5"/>
  <c r="V74" i="5"/>
  <c r="T74" i="5"/>
  <c r="R74" i="5"/>
  <c r="U74" i="5"/>
  <c r="S74" i="5"/>
  <c r="Q74" i="5"/>
  <c r="E74" i="5"/>
  <c r="D74" i="5"/>
  <c r="C74" i="5"/>
  <c r="B74" i="5"/>
  <c r="A74" i="5"/>
  <c r="K73" i="5"/>
  <c r="P73" i="5"/>
  <c r="I73" i="5"/>
  <c r="K72" i="5"/>
  <c r="H72" i="5"/>
  <c r="G72" i="5"/>
  <c r="E72" i="5"/>
  <c r="J71" i="5"/>
  <c r="E71" i="5"/>
  <c r="J70" i="5"/>
  <c r="I70" i="5"/>
  <c r="H70" i="5"/>
  <c r="G70" i="5"/>
  <c r="F70" i="5"/>
  <c r="J69" i="5"/>
  <c r="I69" i="5"/>
  <c r="H69" i="5"/>
  <c r="G69" i="5"/>
  <c r="F69" i="5"/>
  <c r="C68" i="5"/>
  <c r="V67" i="5"/>
  <c r="T67" i="5"/>
  <c r="R67" i="5"/>
  <c r="U67" i="5"/>
  <c r="S67" i="5"/>
  <c r="Q67" i="5"/>
  <c r="E67" i="5"/>
  <c r="D67" i="5"/>
  <c r="C67" i="5"/>
  <c r="B67" i="5"/>
  <c r="A67" i="5"/>
  <c r="K66" i="5"/>
  <c r="P66" i="5"/>
  <c r="I66" i="5"/>
  <c r="K65" i="5"/>
  <c r="H65" i="5"/>
  <c r="G65" i="5"/>
  <c r="E65" i="5"/>
  <c r="J64" i="5"/>
  <c r="E64" i="5"/>
  <c r="J63" i="5"/>
  <c r="E63" i="5"/>
  <c r="J62" i="5"/>
  <c r="I62" i="5"/>
  <c r="H62" i="5"/>
  <c r="G62" i="5"/>
  <c r="F62" i="5"/>
  <c r="J61" i="5"/>
  <c r="I61" i="5"/>
  <c r="H61" i="5"/>
  <c r="G61" i="5"/>
  <c r="F61" i="5"/>
  <c r="J60" i="5"/>
  <c r="I60" i="5"/>
  <c r="H60" i="5"/>
  <c r="G60" i="5"/>
  <c r="F60" i="5"/>
  <c r="J59" i="5"/>
  <c r="I59" i="5"/>
  <c r="H59" i="5"/>
  <c r="G59" i="5"/>
  <c r="F59" i="5"/>
  <c r="C58" i="5"/>
  <c r="V57" i="5"/>
  <c r="T57" i="5"/>
  <c r="R57" i="5"/>
  <c r="U57" i="5"/>
  <c r="S57" i="5"/>
  <c r="Q57" i="5"/>
  <c r="E57" i="5"/>
  <c r="D57" i="5"/>
  <c r="C57" i="5"/>
  <c r="B57" i="5"/>
  <c r="A57" i="5"/>
  <c r="K56" i="5"/>
  <c r="P56" i="5"/>
  <c r="I56" i="5"/>
  <c r="J55" i="5"/>
  <c r="I55" i="5"/>
  <c r="H55" i="5"/>
  <c r="G55" i="5"/>
  <c r="F55" i="5"/>
  <c r="V55" i="5"/>
  <c r="T55" i="5"/>
  <c r="R55" i="5"/>
  <c r="U55" i="5"/>
  <c r="S55" i="5"/>
  <c r="Q55" i="5"/>
  <c r="E55" i="5"/>
  <c r="D55" i="5"/>
  <c r="C55" i="5"/>
  <c r="B55" i="5"/>
  <c r="A55" i="5"/>
  <c r="K54" i="5"/>
  <c r="P54" i="5"/>
  <c r="I54" i="5"/>
  <c r="J53" i="5"/>
  <c r="I53" i="5"/>
  <c r="H53" i="5"/>
  <c r="G53" i="5"/>
  <c r="F53" i="5"/>
  <c r="J52" i="5"/>
  <c r="I52" i="5"/>
  <c r="H52" i="5"/>
  <c r="G52" i="5"/>
  <c r="F52" i="5"/>
  <c r="V51" i="5"/>
  <c r="T51" i="5"/>
  <c r="R51" i="5"/>
  <c r="U51" i="5"/>
  <c r="S51" i="5"/>
  <c r="Q51" i="5"/>
  <c r="E51" i="5"/>
  <c r="D51" i="5"/>
  <c r="B51" i="5"/>
  <c r="A51" i="5"/>
  <c r="K50" i="5"/>
  <c r="P50" i="5"/>
  <c r="I50" i="5"/>
  <c r="J49" i="5"/>
  <c r="I49" i="5"/>
  <c r="H49" i="5"/>
  <c r="G49" i="5"/>
  <c r="F49" i="5"/>
  <c r="J48" i="5"/>
  <c r="I48" i="5"/>
  <c r="H48" i="5"/>
  <c r="G48" i="5"/>
  <c r="F48" i="5"/>
  <c r="V47" i="5"/>
  <c r="T47" i="5"/>
  <c r="R47" i="5"/>
  <c r="U47" i="5"/>
  <c r="S47" i="5"/>
  <c r="Q47" i="5"/>
  <c r="E47" i="5"/>
  <c r="D47" i="5"/>
  <c r="C47" i="5"/>
  <c r="B47" i="5"/>
  <c r="A47" i="5"/>
  <c r="K46" i="5"/>
  <c r="P46" i="5"/>
  <c r="I46" i="5"/>
  <c r="J45" i="5"/>
  <c r="E45" i="5"/>
  <c r="J44" i="5"/>
  <c r="I44" i="5"/>
  <c r="H44" i="5"/>
  <c r="G44" i="5"/>
  <c r="F44" i="5"/>
  <c r="J43" i="5"/>
  <c r="I43" i="5"/>
  <c r="H43" i="5"/>
  <c r="G43" i="5"/>
  <c r="F43" i="5"/>
  <c r="C42" i="5"/>
  <c r="V41" i="5"/>
  <c r="T41" i="5"/>
  <c r="R41" i="5"/>
  <c r="U41" i="5"/>
  <c r="S41" i="5"/>
  <c r="Q41" i="5"/>
  <c r="E41" i="5"/>
  <c r="D41" i="5"/>
  <c r="C41" i="5"/>
  <c r="B41" i="5"/>
  <c r="A41" i="5"/>
  <c r="K40" i="5"/>
  <c r="P40" i="5"/>
  <c r="I40" i="5"/>
  <c r="K39" i="5"/>
  <c r="H39" i="5"/>
  <c r="G39" i="5"/>
  <c r="E39" i="5"/>
  <c r="J38" i="5"/>
  <c r="E38" i="5"/>
  <c r="J37" i="5"/>
  <c r="E37" i="5"/>
  <c r="J36" i="5"/>
  <c r="I36" i="5"/>
  <c r="H36" i="5"/>
  <c r="G36" i="5"/>
  <c r="F36" i="5"/>
  <c r="J35" i="5"/>
  <c r="I35" i="5"/>
  <c r="H35" i="5"/>
  <c r="G35" i="5"/>
  <c r="F35" i="5"/>
  <c r="J34" i="5"/>
  <c r="I34" i="5"/>
  <c r="H34" i="5"/>
  <c r="G34" i="5"/>
  <c r="F34" i="5"/>
  <c r="C33" i="5"/>
  <c r="V32" i="5"/>
  <c r="T32" i="5"/>
  <c r="R32" i="5"/>
  <c r="U32" i="5"/>
  <c r="S32" i="5"/>
  <c r="Q32" i="5"/>
  <c r="E32" i="5"/>
  <c r="D32" i="5"/>
  <c r="C32" i="5"/>
  <c r="B32" i="5"/>
  <c r="A32" i="5"/>
  <c r="K31" i="5"/>
  <c r="P31" i="5"/>
  <c r="I31" i="5"/>
  <c r="K30" i="5"/>
  <c r="H30" i="5"/>
  <c r="G30" i="5"/>
  <c r="E30" i="5"/>
  <c r="J29" i="5"/>
  <c r="E29" i="5"/>
  <c r="J28" i="5"/>
  <c r="I28" i="5"/>
  <c r="H28" i="5"/>
  <c r="G28" i="5"/>
  <c r="F28" i="5"/>
  <c r="C27" i="5"/>
  <c r="V26" i="5"/>
  <c r="T26" i="5"/>
  <c r="R26" i="5"/>
  <c r="U26" i="5"/>
  <c r="S26" i="5"/>
  <c r="Q26" i="5"/>
  <c r="E26" i="5"/>
  <c r="D26" i="5"/>
  <c r="C26" i="5"/>
  <c r="B26" i="5"/>
  <c r="A26" i="5"/>
  <c r="A25" i="5"/>
  <c r="A11" i="5"/>
  <c r="A8" i="5"/>
  <c r="A3" i="5"/>
  <c r="A1" i="5"/>
  <c r="A1" i="4" l="1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1" i="3"/>
  <c r="CY1" i="3"/>
  <c r="CZ1" i="3"/>
  <c r="DB1" i="3" s="1"/>
  <c r="DA1" i="3"/>
  <c r="DC1" i="3"/>
  <c r="A2" i="3"/>
  <c r="CY2" i="3"/>
  <c r="CZ2" i="3"/>
  <c r="DA2" i="3"/>
  <c r="DB2" i="3"/>
  <c r="DC2" i="3"/>
  <c r="A3" i="3"/>
  <c r="CY3" i="3"/>
  <c r="CZ3" i="3"/>
  <c r="DA3" i="3"/>
  <c r="DB3" i="3"/>
  <c r="DC3" i="3"/>
  <c r="A4" i="3"/>
  <c r="CY4" i="3"/>
  <c r="CZ4" i="3"/>
  <c r="DA4" i="3"/>
  <c r="DB4" i="3"/>
  <c r="DC4" i="3"/>
  <c r="A5" i="3"/>
  <c r="CY5" i="3"/>
  <c r="CZ5" i="3"/>
  <c r="DB5" i="3" s="1"/>
  <c r="DA5" i="3"/>
  <c r="DC5" i="3"/>
  <c r="A6" i="3"/>
  <c r="CY6" i="3"/>
  <c r="CZ6" i="3"/>
  <c r="DB6" i="3" s="1"/>
  <c r="DA6" i="3"/>
  <c r="DC6" i="3"/>
  <c r="A7" i="3"/>
  <c r="CY7" i="3"/>
  <c r="CZ7" i="3"/>
  <c r="DB7" i="3" s="1"/>
  <c r="DA7" i="3"/>
  <c r="DC7" i="3"/>
  <c r="A8" i="3"/>
  <c r="CY8" i="3"/>
  <c r="CZ8" i="3"/>
  <c r="DB8" i="3" s="1"/>
  <c r="DA8" i="3"/>
  <c r="DC8" i="3"/>
  <c r="A9" i="3"/>
  <c r="CY9" i="3"/>
  <c r="CZ9" i="3"/>
  <c r="DA9" i="3"/>
  <c r="DB9" i="3"/>
  <c r="DC9" i="3"/>
  <c r="A10" i="3"/>
  <c r="CY10" i="3"/>
  <c r="CZ10" i="3"/>
  <c r="DA10" i="3"/>
  <c r="DB10" i="3"/>
  <c r="DC10" i="3"/>
  <c r="A11" i="3"/>
  <c r="CY11" i="3"/>
  <c r="CZ11" i="3"/>
  <c r="DB11" i="3" s="1"/>
  <c r="DA11" i="3"/>
  <c r="DC11" i="3"/>
  <c r="A12" i="3"/>
  <c r="CY12" i="3"/>
  <c r="CZ12" i="3"/>
  <c r="DB12" i="3" s="1"/>
  <c r="DA12" i="3"/>
  <c r="DC12" i="3"/>
  <c r="A13" i="3"/>
  <c r="CY13" i="3"/>
  <c r="CZ13" i="3"/>
  <c r="DB13" i="3" s="1"/>
  <c r="DA13" i="3"/>
  <c r="DC13" i="3"/>
  <c r="A14" i="3"/>
  <c r="CY14" i="3"/>
  <c r="CZ14" i="3"/>
  <c r="DB14" i="3" s="1"/>
  <c r="DA14" i="3"/>
  <c r="DC14" i="3"/>
  <c r="A15" i="3"/>
  <c r="CY15" i="3"/>
  <c r="CZ15" i="3"/>
  <c r="DA15" i="3"/>
  <c r="DB15" i="3"/>
  <c r="DC15" i="3"/>
  <c r="A16" i="3"/>
  <c r="CY16" i="3"/>
  <c r="CZ16" i="3"/>
  <c r="DA16" i="3"/>
  <c r="DB16" i="3"/>
  <c r="DC16" i="3"/>
  <c r="A17" i="3"/>
  <c r="CY17" i="3"/>
  <c r="CZ17" i="3"/>
  <c r="DB17" i="3" s="1"/>
  <c r="DA17" i="3"/>
  <c r="DC17" i="3"/>
  <c r="A18" i="3"/>
  <c r="CY18" i="3"/>
  <c r="CZ18" i="3"/>
  <c r="DB18" i="3" s="1"/>
  <c r="DA18" i="3"/>
  <c r="DC18" i="3"/>
  <c r="A19" i="3"/>
  <c r="CY19" i="3"/>
  <c r="CZ19" i="3"/>
  <c r="DB19" i="3" s="1"/>
  <c r="DA19" i="3"/>
  <c r="DC19" i="3"/>
  <c r="A20" i="3"/>
  <c r="CY20" i="3"/>
  <c r="CZ20" i="3"/>
  <c r="DA20" i="3"/>
  <c r="DB20" i="3"/>
  <c r="DC20" i="3"/>
  <c r="A21" i="3"/>
  <c r="CY21" i="3"/>
  <c r="CZ21" i="3"/>
  <c r="DA21" i="3"/>
  <c r="DB21" i="3"/>
  <c r="DC21" i="3"/>
  <c r="A22" i="3"/>
  <c r="CY22" i="3"/>
  <c r="CZ22" i="3"/>
  <c r="DA22" i="3"/>
  <c r="DB22" i="3"/>
  <c r="DC22" i="3"/>
  <c r="A23" i="3"/>
  <c r="CY23" i="3"/>
  <c r="CZ23" i="3"/>
  <c r="DB23" i="3" s="1"/>
  <c r="DA23" i="3"/>
  <c r="DC23" i="3"/>
  <c r="A24" i="3"/>
  <c r="CY24" i="3"/>
  <c r="CZ24" i="3"/>
  <c r="DB24" i="3" s="1"/>
  <c r="DA24" i="3"/>
  <c r="DC24" i="3"/>
  <c r="A25" i="3"/>
  <c r="CY25" i="3"/>
  <c r="CZ25" i="3"/>
  <c r="DB25" i="3" s="1"/>
  <c r="DA25" i="3"/>
  <c r="DC25" i="3"/>
  <c r="A26" i="3"/>
  <c r="CY26" i="3"/>
  <c r="CZ26" i="3"/>
  <c r="DA26" i="3"/>
  <c r="DB26" i="3"/>
  <c r="DC26" i="3"/>
  <c r="A27" i="3"/>
  <c r="CY27" i="3"/>
  <c r="CZ27" i="3"/>
  <c r="DA27" i="3"/>
  <c r="DB27" i="3"/>
  <c r="DC27" i="3"/>
  <c r="A28" i="3"/>
  <c r="CY28" i="3"/>
  <c r="CZ28" i="3"/>
  <c r="DB28" i="3" s="1"/>
  <c r="DA28" i="3"/>
  <c r="DC28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AC24" i="1"/>
  <c r="AE24" i="1"/>
  <c r="AD24" i="1" s="1"/>
  <c r="AB24" i="1" s="1"/>
  <c r="AF24" i="1"/>
  <c r="CT24" i="1" s="1"/>
  <c r="S24" i="1" s="1"/>
  <c r="AG24" i="1"/>
  <c r="CU24" i="1" s="1"/>
  <c r="T24" i="1" s="1"/>
  <c r="AH24" i="1"/>
  <c r="AI24" i="1"/>
  <c r="AJ24" i="1"/>
  <c r="CQ24" i="1"/>
  <c r="P24" i="1" s="1"/>
  <c r="CP24" i="1" s="1"/>
  <c r="O24" i="1" s="1"/>
  <c r="CR24" i="1"/>
  <c r="Q24" i="1" s="1"/>
  <c r="CV24" i="1"/>
  <c r="U24" i="1" s="1"/>
  <c r="CW24" i="1"/>
  <c r="V24" i="1" s="1"/>
  <c r="CX24" i="1"/>
  <c r="W24" i="1" s="1"/>
  <c r="FR24" i="1"/>
  <c r="GL24" i="1"/>
  <c r="GO24" i="1"/>
  <c r="GP24" i="1"/>
  <c r="GV24" i="1"/>
  <c r="GX24" i="1"/>
  <c r="HC24" i="1"/>
  <c r="C25" i="1"/>
  <c r="D25" i="1"/>
  <c r="I25" i="1"/>
  <c r="CX1" i="3" s="1"/>
  <c r="AC25" i="1"/>
  <c r="AD25" i="1"/>
  <c r="AB25" i="1" s="1"/>
  <c r="AE25" i="1"/>
  <c r="CR25" i="1" s="1"/>
  <c r="Q25" i="1" s="1"/>
  <c r="AF25" i="1"/>
  <c r="AG25" i="1"/>
  <c r="AH25" i="1"/>
  <c r="CV25" i="1" s="1"/>
  <c r="U25" i="1" s="1"/>
  <c r="AI25" i="1"/>
  <c r="AJ25" i="1"/>
  <c r="CX25" i="1" s="1"/>
  <c r="W25" i="1" s="1"/>
  <c r="CQ25" i="1"/>
  <c r="CS25" i="1"/>
  <c r="R25" i="1" s="1"/>
  <c r="CT25" i="1"/>
  <c r="S25" i="1" s="1"/>
  <c r="CU25" i="1"/>
  <c r="T25" i="1" s="1"/>
  <c r="CW25" i="1"/>
  <c r="FR25" i="1"/>
  <c r="GL25" i="1"/>
  <c r="GN25" i="1"/>
  <c r="GO25" i="1"/>
  <c r="GV25" i="1"/>
  <c r="HC25" i="1" s="1"/>
  <c r="GX25" i="1" s="1"/>
  <c r="C26" i="1"/>
  <c r="D26" i="1"/>
  <c r="AC26" i="1"/>
  <c r="AD26" i="1"/>
  <c r="AE26" i="1"/>
  <c r="AF26" i="1"/>
  <c r="AB26" i="1" s="1"/>
  <c r="AG26" i="1"/>
  <c r="AH26" i="1"/>
  <c r="CV26" i="1" s="1"/>
  <c r="AI26" i="1"/>
  <c r="AJ26" i="1"/>
  <c r="CX26" i="1" s="1"/>
  <c r="CQ26" i="1"/>
  <c r="CR26" i="1"/>
  <c r="CS26" i="1"/>
  <c r="CU26" i="1"/>
  <c r="CW26" i="1"/>
  <c r="FR26" i="1"/>
  <c r="GL26" i="1"/>
  <c r="GN26" i="1"/>
  <c r="GO26" i="1"/>
  <c r="GV26" i="1"/>
  <c r="HC26" i="1"/>
  <c r="C27" i="1"/>
  <c r="D27" i="1"/>
  <c r="AC27" i="1"/>
  <c r="AD27" i="1"/>
  <c r="AB27" i="1" s="1"/>
  <c r="AE27" i="1"/>
  <c r="CR27" i="1" s="1"/>
  <c r="AF27" i="1"/>
  <c r="CT27" i="1" s="1"/>
  <c r="AG27" i="1"/>
  <c r="AH27" i="1"/>
  <c r="AI27" i="1"/>
  <c r="AJ27" i="1"/>
  <c r="CX27" i="1" s="1"/>
  <c r="CQ27" i="1"/>
  <c r="CS27" i="1"/>
  <c r="CU27" i="1"/>
  <c r="CV27" i="1"/>
  <c r="CW27" i="1"/>
  <c r="FR27" i="1"/>
  <c r="GL27" i="1"/>
  <c r="GN27" i="1"/>
  <c r="GO27" i="1"/>
  <c r="GV27" i="1"/>
  <c r="HC27" i="1" s="1"/>
  <c r="C28" i="1"/>
  <c r="D28" i="1"/>
  <c r="AC28" i="1"/>
  <c r="AD28" i="1"/>
  <c r="AB28" i="1" s="1"/>
  <c r="AE28" i="1"/>
  <c r="CR28" i="1" s="1"/>
  <c r="AF28" i="1"/>
  <c r="CT28" i="1" s="1"/>
  <c r="AG28" i="1"/>
  <c r="AH28" i="1"/>
  <c r="CV28" i="1" s="1"/>
  <c r="AI28" i="1"/>
  <c r="AJ28" i="1"/>
  <c r="CX28" i="1" s="1"/>
  <c r="CQ28" i="1"/>
  <c r="CS28" i="1"/>
  <c r="CU28" i="1"/>
  <c r="CW28" i="1"/>
  <c r="FR28" i="1"/>
  <c r="GL28" i="1"/>
  <c r="GN28" i="1"/>
  <c r="GO28" i="1"/>
  <c r="GV28" i="1"/>
  <c r="HC28" i="1" s="1"/>
  <c r="C29" i="1"/>
  <c r="D29" i="1"/>
  <c r="AC29" i="1"/>
  <c r="AE29" i="1"/>
  <c r="CS29" i="1" s="1"/>
  <c r="AF29" i="1"/>
  <c r="AG29" i="1"/>
  <c r="CU29" i="1" s="1"/>
  <c r="AH29" i="1"/>
  <c r="AI29" i="1"/>
  <c r="CW29" i="1" s="1"/>
  <c r="AJ29" i="1"/>
  <c r="CR29" i="1"/>
  <c r="CT29" i="1"/>
  <c r="CV29" i="1"/>
  <c r="CX29" i="1"/>
  <c r="FR29" i="1"/>
  <c r="GL29" i="1"/>
  <c r="GN29" i="1"/>
  <c r="GO29" i="1"/>
  <c r="GV29" i="1"/>
  <c r="HC29" i="1" s="1"/>
  <c r="AB30" i="1"/>
  <c r="AC30" i="1"/>
  <c r="AD30" i="1"/>
  <c r="AE30" i="1"/>
  <c r="CR30" i="1" s="1"/>
  <c r="AF30" i="1"/>
  <c r="CT30" i="1" s="1"/>
  <c r="AG30" i="1"/>
  <c r="AH30" i="1"/>
  <c r="CV30" i="1" s="1"/>
  <c r="AI30" i="1"/>
  <c r="AJ30" i="1"/>
  <c r="CX30" i="1" s="1"/>
  <c r="CQ30" i="1"/>
  <c r="CS30" i="1"/>
  <c r="CU30" i="1"/>
  <c r="CW30" i="1"/>
  <c r="FR30" i="1"/>
  <c r="GL30" i="1"/>
  <c r="GN30" i="1"/>
  <c r="GO30" i="1"/>
  <c r="GV30" i="1"/>
  <c r="HC30" i="1" s="1"/>
  <c r="C31" i="1"/>
  <c r="D31" i="1"/>
  <c r="I31" i="1"/>
  <c r="CX13" i="3" s="1"/>
  <c r="T31" i="1"/>
  <c r="AB31" i="1"/>
  <c r="AC31" i="1"/>
  <c r="AD31" i="1"/>
  <c r="AE31" i="1"/>
  <c r="AF31" i="1"/>
  <c r="CT31" i="1" s="1"/>
  <c r="S31" i="1" s="1"/>
  <c r="AG31" i="1"/>
  <c r="AH31" i="1"/>
  <c r="CV31" i="1" s="1"/>
  <c r="U31" i="1" s="1"/>
  <c r="AI31" i="1"/>
  <c r="AJ31" i="1"/>
  <c r="CX31" i="1" s="1"/>
  <c r="W31" i="1" s="1"/>
  <c r="CQ31" i="1"/>
  <c r="P31" i="1" s="1"/>
  <c r="CR31" i="1"/>
  <c r="Q31" i="1" s="1"/>
  <c r="CS31" i="1"/>
  <c r="R31" i="1" s="1"/>
  <c r="GK31" i="1" s="1"/>
  <c r="CU31" i="1"/>
  <c r="CW31" i="1"/>
  <c r="V31" i="1" s="1"/>
  <c r="FR31" i="1"/>
  <c r="GL31" i="1"/>
  <c r="GN31" i="1"/>
  <c r="GO31" i="1"/>
  <c r="GV31" i="1"/>
  <c r="HC31" i="1"/>
  <c r="C32" i="1"/>
  <c r="D32" i="1"/>
  <c r="I32" i="1"/>
  <c r="CX14" i="3" s="1"/>
  <c r="R32" i="1"/>
  <c r="GK32" i="1" s="1"/>
  <c r="AC32" i="1"/>
  <c r="AD32" i="1"/>
  <c r="AB32" i="1" s="1"/>
  <c r="AE32" i="1"/>
  <c r="AF32" i="1"/>
  <c r="CT32" i="1" s="1"/>
  <c r="S32" i="1" s="1"/>
  <c r="AG32" i="1"/>
  <c r="AH32" i="1"/>
  <c r="CV32" i="1" s="1"/>
  <c r="U32" i="1" s="1"/>
  <c r="AI32" i="1"/>
  <c r="AJ32" i="1"/>
  <c r="CX32" i="1" s="1"/>
  <c r="W32" i="1" s="1"/>
  <c r="CQ32" i="1"/>
  <c r="P32" i="1" s="1"/>
  <c r="CR32" i="1"/>
  <c r="Q32" i="1" s="1"/>
  <c r="CS32" i="1"/>
  <c r="CU32" i="1"/>
  <c r="T32" i="1" s="1"/>
  <c r="CW32" i="1"/>
  <c r="V32" i="1" s="1"/>
  <c r="FR32" i="1"/>
  <c r="GL32" i="1"/>
  <c r="GN32" i="1"/>
  <c r="GO32" i="1"/>
  <c r="GV32" i="1"/>
  <c r="GX32" i="1"/>
  <c r="HC32" i="1"/>
  <c r="C33" i="1"/>
  <c r="D33" i="1"/>
  <c r="I33" i="1"/>
  <c r="CX19" i="3" s="1"/>
  <c r="P33" i="1"/>
  <c r="V33" i="1"/>
  <c r="AC33" i="1"/>
  <c r="AD33" i="1"/>
  <c r="AB33" i="1" s="1"/>
  <c r="AE33" i="1"/>
  <c r="CR33" i="1" s="1"/>
  <c r="Q33" i="1" s="1"/>
  <c r="AF33" i="1"/>
  <c r="CT33" i="1" s="1"/>
  <c r="S33" i="1" s="1"/>
  <c r="AG33" i="1"/>
  <c r="AH33" i="1"/>
  <c r="CV33" i="1" s="1"/>
  <c r="U33" i="1" s="1"/>
  <c r="AI33" i="1"/>
  <c r="AJ33" i="1"/>
  <c r="CX33" i="1" s="1"/>
  <c r="W33" i="1" s="1"/>
  <c r="CQ33" i="1"/>
  <c r="CS33" i="1"/>
  <c r="R33" i="1" s="1"/>
  <c r="GK33" i="1" s="1"/>
  <c r="CU33" i="1"/>
  <c r="T33" i="1" s="1"/>
  <c r="CW33" i="1"/>
  <c r="FR33" i="1"/>
  <c r="GL33" i="1"/>
  <c r="GN33" i="1"/>
  <c r="GO33" i="1"/>
  <c r="GV33" i="1"/>
  <c r="HC33" i="1" s="1"/>
  <c r="GX33" i="1" s="1"/>
  <c r="C34" i="1"/>
  <c r="D34" i="1"/>
  <c r="I34" i="1"/>
  <c r="CX25" i="3" s="1"/>
  <c r="T34" i="1"/>
  <c r="AB34" i="1"/>
  <c r="AC34" i="1"/>
  <c r="AD34" i="1"/>
  <c r="AE34" i="1"/>
  <c r="AF34" i="1"/>
  <c r="CT34" i="1" s="1"/>
  <c r="S34" i="1" s="1"/>
  <c r="AG34" i="1"/>
  <c r="AH34" i="1"/>
  <c r="CV34" i="1" s="1"/>
  <c r="U34" i="1" s="1"/>
  <c r="AI34" i="1"/>
  <c r="AJ34" i="1"/>
  <c r="CX34" i="1" s="1"/>
  <c r="W34" i="1" s="1"/>
  <c r="CQ34" i="1"/>
  <c r="P34" i="1" s="1"/>
  <c r="CR34" i="1"/>
  <c r="Q34" i="1" s="1"/>
  <c r="CS34" i="1"/>
  <c r="R34" i="1" s="1"/>
  <c r="GK34" i="1" s="1"/>
  <c r="CU34" i="1"/>
  <c r="CW34" i="1"/>
  <c r="V34" i="1" s="1"/>
  <c r="FR34" i="1"/>
  <c r="GL34" i="1"/>
  <c r="GN34" i="1"/>
  <c r="GO34" i="1"/>
  <c r="GV34" i="1"/>
  <c r="HC34" i="1"/>
  <c r="B36" i="1"/>
  <c r="B22" i="1" s="1"/>
  <c r="C36" i="1"/>
  <c r="C22" i="1" s="1"/>
  <c r="D36" i="1"/>
  <c r="D22" i="1" s="1"/>
  <c r="F36" i="1"/>
  <c r="F22" i="1" s="1"/>
  <c r="G36" i="1"/>
  <c r="G22" i="1" s="1"/>
  <c r="BX36" i="1"/>
  <c r="BX22" i="1" s="1"/>
  <c r="BY36" i="1"/>
  <c r="AP36" i="1" s="1"/>
  <c r="BZ36" i="1"/>
  <c r="AQ36" i="1" s="1"/>
  <c r="AQ22" i="1" s="1"/>
  <c r="CB36" i="1"/>
  <c r="AS36" i="1" s="1"/>
  <c r="AS22" i="1" s="1"/>
  <c r="CC36" i="1"/>
  <c r="AT36" i="1" s="1"/>
  <c r="AT66" i="1" s="1"/>
  <c r="CK36" i="1"/>
  <c r="BB36" i="1" s="1"/>
  <c r="CL36" i="1"/>
  <c r="BC36" i="1" s="1"/>
  <c r="BC22" i="1" s="1"/>
  <c r="CM36" i="1"/>
  <c r="BD36" i="1" s="1"/>
  <c r="F46" i="1"/>
  <c r="F52" i="1"/>
  <c r="F53" i="1"/>
  <c r="B66" i="1"/>
  <c r="B18" i="1" s="1"/>
  <c r="C66" i="1"/>
  <c r="C18" i="1" s="1"/>
  <c r="D66" i="1"/>
  <c r="D18" i="1" s="1"/>
  <c r="F66" i="1"/>
  <c r="F18" i="1" s="1"/>
  <c r="G66" i="1"/>
  <c r="G18" i="1" s="1"/>
  <c r="AP66" i="1"/>
  <c r="AP18" i="1" s="1"/>
  <c r="AQ66" i="1"/>
  <c r="AQ18" i="1" s="1"/>
  <c r="AS66" i="1"/>
  <c r="AS18" i="1" s="1"/>
  <c r="BD66" i="1"/>
  <c r="BD18" i="1" s="1"/>
  <c r="F91" i="1"/>
  <c r="E16" i="2"/>
  <c r="E18" i="2"/>
  <c r="AT18" i="1" l="1"/>
  <c r="F84" i="1"/>
  <c r="BC66" i="1"/>
  <c r="F83" i="1"/>
  <c r="F76" i="1"/>
  <c r="CP34" i="1"/>
  <c r="O34" i="1" s="1"/>
  <c r="Q26" i="1"/>
  <c r="F75" i="1"/>
  <c r="F61" i="1"/>
  <c r="BD22" i="1"/>
  <c r="AP22" i="1"/>
  <c r="F45" i="1"/>
  <c r="G16" i="2" s="1"/>
  <c r="G18" i="2" s="1"/>
  <c r="CY25" i="1"/>
  <c r="X25" i="1" s="1"/>
  <c r="CZ25" i="1"/>
  <c r="Y25" i="1" s="1"/>
  <c r="CY24" i="1"/>
  <c r="X24" i="1" s="1"/>
  <c r="CZ24" i="1"/>
  <c r="Y24" i="1" s="1"/>
  <c r="GM24" i="1" s="1"/>
  <c r="CP33" i="1"/>
  <c r="O33" i="1" s="1"/>
  <c r="GK25" i="1"/>
  <c r="CY31" i="1"/>
  <c r="X31" i="1" s="1"/>
  <c r="CZ31" i="1"/>
  <c r="Y31" i="1" s="1"/>
  <c r="AB29" i="1"/>
  <c r="F49" i="1"/>
  <c r="BB22" i="1"/>
  <c r="CY33" i="1"/>
  <c r="X33" i="1" s="1"/>
  <c r="CZ33" i="1"/>
  <c r="Y33" i="1" s="1"/>
  <c r="AT22" i="1"/>
  <c r="F54" i="1"/>
  <c r="F16" i="2" s="1"/>
  <c r="F18" i="2" s="1"/>
  <c r="CP31" i="1"/>
  <c r="O31" i="1" s="1"/>
  <c r="CY32" i="1"/>
  <c r="X32" i="1" s="1"/>
  <c r="CZ32" i="1"/>
  <c r="Y32" i="1" s="1"/>
  <c r="BB66" i="1"/>
  <c r="CY34" i="1"/>
  <c r="X34" i="1" s="1"/>
  <c r="CZ34" i="1"/>
  <c r="Y34" i="1" s="1"/>
  <c r="CP32" i="1"/>
  <c r="O32" i="1" s="1"/>
  <c r="AO36" i="1"/>
  <c r="CQ29" i="1"/>
  <c r="CC22" i="1"/>
  <c r="CX24" i="3"/>
  <c r="CX18" i="3"/>
  <c r="CX12" i="3"/>
  <c r="CS24" i="1"/>
  <c r="R24" i="1" s="1"/>
  <c r="GK24" i="1" s="1"/>
  <c r="CB22" i="1"/>
  <c r="CX23" i="3"/>
  <c r="CX17" i="3"/>
  <c r="CX11" i="3"/>
  <c r="AD29" i="1"/>
  <c r="CT26" i="1"/>
  <c r="CM22" i="1"/>
  <c r="CX28" i="3"/>
  <c r="CX22" i="3"/>
  <c r="CX16" i="3"/>
  <c r="CX10" i="3"/>
  <c r="CI36" i="1"/>
  <c r="I26" i="1"/>
  <c r="V25" i="1"/>
  <c r="P25" i="1"/>
  <c r="CL22" i="1"/>
  <c r="BZ22" i="1"/>
  <c r="CX27" i="3"/>
  <c r="CX21" i="3"/>
  <c r="CX15" i="3"/>
  <c r="CK22" i="1"/>
  <c r="BY22" i="1"/>
  <c r="CX26" i="3"/>
  <c r="CX20" i="3"/>
  <c r="CG36" i="1"/>
  <c r="GX34" i="1"/>
  <c r="GX31" i="1"/>
  <c r="GX26" i="1" l="1"/>
  <c r="CX2" i="3"/>
  <c r="CX3" i="3"/>
  <c r="T26" i="1"/>
  <c r="CX4" i="3"/>
  <c r="I27" i="1"/>
  <c r="GP32" i="1"/>
  <c r="GM32" i="1"/>
  <c r="GP33" i="1"/>
  <c r="GM33" i="1"/>
  <c r="P26" i="1"/>
  <c r="R26" i="1"/>
  <c r="U26" i="1"/>
  <c r="V26" i="1"/>
  <c r="GN24" i="1"/>
  <c r="AX36" i="1"/>
  <c r="CG22" i="1"/>
  <c r="GM31" i="1"/>
  <c r="GP31" i="1"/>
  <c r="AZ36" i="1"/>
  <c r="CI22" i="1"/>
  <c r="S26" i="1"/>
  <c r="AO22" i="1"/>
  <c r="F40" i="1"/>
  <c r="AO66" i="1"/>
  <c r="W26" i="1"/>
  <c r="GM34" i="1"/>
  <c r="GP34" i="1"/>
  <c r="CP25" i="1"/>
  <c r="O25" i="1" s="1"/>
  <c r="BB18" i="1"/>
  <c r="F79" i="1"/>
  <c r="BC18" i="1"/>
  <c r="F82" i="1"/>
  <c r="AO18" i="1" l="1"/>
  <c r="F70" i="1"/>
  <c r="GP25" i="1"/>
  <c r="GM25" i="1"/>
  <c r="AZ22" i="1"/>
  <c r="F47" i="1"/>
  <c r="AZ66" i="1"/>
  <c r="GK26" i="1"/>
  <c r="CY26" i="1"/>
  <c r="X26" i="1" s="1"/>
  <c r="CZ26" i="1"/>
  <c r="Y26" i="1" s="1"/>
  <c r="CP26" i="1"/>
  <c r="O26" i="1" s="1"/>
  <c r="I28" i="1"/>
  <c r="I30" i="1"/>
  <c r="I29" i="1"/>
  <c r="R27" i="1"/>
  <c r="GK27" i="1" s="1"/>
  <c r="CX5" i="3"/>
  <c r="P27" i="1"/>
  <c r="CP27" i="1" s="1"/>
  <c r="O27" i="1" s="1"/>
  <c r="GX27" i="1"/>
  <c r="S27" i="1"/>
  <c r="Q27" i="1"/>
  <c r="W27" i="1"/>
  <c r="U27" i="1"/>
  <c r="T27" i="1"/>
  <c r="V27" i="1"/>
  <c r="F43" i="1"/>
  <c r="AX22" i="1"/>
  <c r="AX66" i="1"/>
  <c r="AI36" i="1" l="1"/>
  <c r="AX18" i="1"/>
  <c r="F73" i="1"/>
  <c r="AZ18" i="1"/>
  <c r="F77" i="1"/>
  <c r="CX8" i="3"/>
  <c r="CX9" i="3"/>
  <c r="U29" i="1"/>
  <c r="Q29" i="1"/>
  <c r="W29" i="1"/>
  <c r="GX29" i="1"/>
  <c r="CJ36" i="1" s="1"/>
  <c r="R29" i="1"/>
  <c r="S29" i="1"/>
  <c r="V29" i="1"/>
  <c r="T29" i="1"/>
  <c r="P29" i="1"/>
  <c r="CX7" i="3"/>
  <c r="P28" i="1"/>
  <c r="AC36" i="1" s="1"/>
  <c r="V28" i="1"/>
  <c r="CX6" i="3"/>
  <c r="S28" i="1"/>
  <c r="W28" i="1"/>
  <c r="U28" i="1"/>
  <c r="Q28" i="1"/>
  <c r="GX28" i="1"/>
  <c r="T28" i="1"/>
  <c r="R28" i="1"/>
  <c r="GM26" i="1"/>
  <c r="GP26" i="1"/>
  <c r="CY27" i="1"/>
  <c r="X27" i="1" s="1"/>
  <c r="CZ27" i="1"/>
  <c r="Y27" i="1" s="1"/>
  <c r="P30" i="1"/>
  <c r="V30" i="1"/>
  <c r="Q30" i="1"/>
  <c r="AD36" i="1" s="1"/>
  <c r="W30" i="1"/>
  <c r="U30" i="1"/>
  <c r="R30" i="1"/>
  <c r="GK30" i="1" s="1"/>
  <c r="S30" i="1"/>
  <c r="GX30" i="1"/>
  <c r="T30" i="1"/>
  <c r="AG36" i="1" s="1"/>
  <c r="AF36" i="1"/>
  <c r="CJ22" i="1" l="1"/>
  <c r="BA36" i="1"/>
  <c r="AC22" i="1"/>
  <c r="CH36" i="1"/>
  <c r="P36" i="1"/>
  <c r="CE36" i="1"/>
  <c r="CF36" i="1"/>
  <c r="T36" i="1"/>
  <c r="AG22" i="1"/>
  <c r="AD22" i="1"/>
  <c r="Q36" i="1"/>
  <c r="AF22" i="1"/>
  <c r="S36" i="1"/>
  <c r="AJ36" i="1"/>
  <c r="AI22" i="1"/>
  <c r="V36" i="1"/>
  <c r="AE36" i="1"/>
  <c r="CY28" i="1"/>
  <c r="X28" i="1" s="1"/>
  <c r="CZ28" i="1"/>
  <c r="Y28" i="1" s="1"/>
  <c r="AL36" i="1" s="1"/>
  <c r="CP29" i="1"/>
  <c r="O29" i="1" s="1"/>
  <c r="GM27" i="1"/>
  <c r="CY30" i="1"/>
  <c r="X30" i="1" s="1"/>
  <c r="AK36" i="1" s="1"/>
  <c r="CZ30" i="1"/>
  <c r="Y30" i="1" s="1"/>
  <c r="CP30" i="1"/>
  <c r="O30" i="1" s="1"/>
  <c r="GP27" i="1"/>
  <c r="CP28" i="1"/>
  <c r="O28" i="1" s="1"/>
  <c r="CY29" i="1"/>
  <c r="X29" i="1" s="1"/>
  <c r="CZ29" i="1"/>
  <c r="Y29" i="1" s="1"/>
  <c r="AH36" i="1"/>
  <c r="AK22" i="1" l="1"/>
  <c r="X36" i="1"/>
  <c r="GP29" i="1"/>
  <c r="CD36" i="1" s="1"/>
  <c r="GM29" i="1"/>
  <c r="V22" i="1"/>
  <c r="V66" i="1"/>
  <c r="F59" i="1"/>
  <c r="P22" i="1"/>
  <c r="F39" i="1"/>
  <c r="P66" i="1"/>
  <c r="AY36" i="1"/>
  <c r="CH22" i="1"/>
  <c r="AJ22" i="1"/>
  <c r="W36" i="1"/>
  <c r="F57" i="1"/>
  <c r="T22" i="1"/>
  <c r="T66" i="1"/>
  <c r="GP30" i="1"/>
  <c r="GM30" i="1"/>
  <c r="AW36" i="1"/>
  <c r="CF22" i="1"/>
  <c r="BA22" i="1"/>
  <c r="F56" i="1"/>
  <c r="BA66" i="1"/>
  <c r="GP28" i="1"/>
  <c r="GM28" i="1"/>
  <c r="CA36" i="1" s="1"/>
  <c r="AB36" i="1"/>
  <c r="AL22" i="1"/>
  <c r="Y36" i="1"/>
  <c r="F51" i="1"/>
  <c r="J16" i="2" s="1"/>
  <c r="J18" i="2" s="1"/>
  <c r="S22" i="1"/>
  <c r="S66" i="1"/>
  <c r="AH22" i="1"/>
  <c r="U36" i="1"/>
  <c r="AE22" i="1"/>
  <c r="R36" i="1"/>
  <c r="Q22" i="1"/>
  <c r="F48" i="1"/>
  <c r="Q66" i="1"/>
  <c r="AV36" i="1"/>
  <c r="CE22" i="1"/>
  <c r="CD22" i="1" l="1"/>
  <c r="AU36" i="1"/>
  <c r="AR36" i="1"/>
  <c r="CA22" i="1"/>
  <c r="W22" i="1"/>
  <c r="F60" i="1"/>
  <c r="W66" i="1"/>
  <c r="AV22" i="1"/>
  <c r="F41" i="1"/>
  <c r="AV66" i="1"/>
  <c r="U22" i="1"/>
  <c r="U66" i="1"/>
  <c r="F58" i="1"/>
  <c r="Q18" i="1"/>
  <c r="F78" i="1"/>
  <c r="AB22" i="1"/>
  <c r="O36" i="1"/>
  <c r="P18" i="1"/>
  <c r="F69" i="1"/>
  <c r="S18" i="1"/>
  <c r="F81" i="1"/>
  <c r="AW22" i="1"/>
  <c r="F42" i="1"/>
  <c r="AW66" i="1"/>
  <c r="F50" i="1"/>
  <c r="R22" i="1"/>
  <c r="R66" i="1"/>
  <c r="BA18" i="1"/>
  <c r="F86" i="1"/>
  <c r="F62" i="1"/>
  <c r="X22" i="1"/>
  <c r="X66" i="1"/>
  <c r="F63" i="1"/>
  <c r="Y22" i="1"/>
  <c r="Y66" i="1"/>
  <c r="T18" i="1"/>
  <c r="F87" i="1"/>
  <c r="F44" i="1"/>
  <c r="AY22" i="1"/>
  <c r="AY66" i="1"/>
  <c r="V18" i="1"/>
  <c r="F89" i="1"/>
  <c r="F55" i="1" l="1"/>
  <c r="H16" i="2" s="1"/>
  <c r="AU22" i="1"/>
  <c r="AU66" i="1"/>
  <c r="W18" i="1"/>
  <c r="F90" i="1"/>
  <c r="AW18" i="1"/>
  <c r="F72" i="1"/>
  <c r="F96" i="1" s="1"/>
  <c r="U18" i="1"/>
  <c r="F88" i="1"/>
  <c r="Y18" i="1"/>
  <c r="F93" i="1"/>
  <c r="F38" i="1"/>
  <c r="O22" i="1"/>
  <c r="O66" i="1"/>
  <c r="X18" i="1"/>
  <c r="F92" i="1"/>
  <c r="AY18" i="1"/>
  <c r="F74" i="1"/>
  <c r="AV18" i="1"/>
  <c r="F71" i="1"/>
  <c r="R18" i="1"/>
  <c r="F80" i="1"/>
  <c r="AR22" i="1"/>
  <c r="F64" i="1"/>
  <c r="AR66" i="1"/>
  <c r="AU18" i="1" l="1"/>
  <c r="F85" i="1"/>
  <c r="O18" i="1"/>
  <c r="F68" i="1"/>
  <c r="AR18" i="1"/>
  <c r="F94" i="1"/>
  <c r="F95" i="1" s="1"/>
  <c r="F97" i="1" s="1"/>
  <c r="H18" i="2"/>
  <c r="I16" i="2"/>
  <c r="I18" i="2" s="1"/>
</calcChain>
</file>

<file path=xl/sharedStrings.xml><?xml version="1.0" encoding="utf-8"?>
<sst xmlns="http://schemas.openxmlformats.org/spreadsheetml/2006/main" count="1295" uniqueCount="272">
  <si>
    <t>Smeta.RU  (495) 974-1589</t>
  </si>
  <si>
    <t>_PS_</t>
  </si>
  <si>
    <t>Smeta.RU</t>
  </si>
  <si>
    <t/>
  </si>
  <si>
    <t>1</t>
  </si>
  <si>
    <t>Изменение вертикальных отметок и устройство гидроизоляции по адресу: Краснохолмская наб., д.1_15</t>
  </si>
  <si>
    <t>Сметные нормы списания</t>
  </si>
  <si>
    <t>Коды ОКП для СН-2012 - 2020 г.</t>
  </si>
  <si>
    <t>СН-2012 - 2020 г_глава_1-5,7</t>
  </si>
  <si>
    <t>Типовой расчет для СН-2012 - 2020 г</t>
  </si>
  <si>
    <t>СН-2012-2020 г. База данных "Сборник стоимостных нормативов"</t>
  </si>
  <si>
    <t>Поправки для СН-2012-2020 в ценах на 01.10.2019 г</t>
  </si>
  <si>
    <t>Новая локальная смета</t>
  </si>
  <si>
    <t>Материалы</t>
  </si>
  <si>
    <t>Материалы, изделия и конструкции</t>
  </si>
  <si>
    <t>2.1-3104-4-1/1</t>
  </si>
  <si>
    <t>Разборка тротуаров и дорожек из плит с отноской и укладкой в штабель</t>
  </si>
  <si>
    <t>100 м2</t>
  </si>
  <si>
    <t>СН-2012-2020.2. База. Сб.1-3104-4-1/1</t>
  </si>
  <si>
    <t>СН-2012</t>
  </si>
  <si>
    <t>Подрядные работы, гл. 1-5,7</t>
  </si>
  <si>
    <t>работа</t>
  </si>
  <si>
    <t>2</t>
  </si>
  <si>
    <t>2.1-3104-1-5/1</t>
  </si>
  <si>
    <t>Разборка покрытий и оснований цементобетонных</t>
  </si>
  <si>
    <t>100 м3</t>
  </si>
  <si>
    <t>СН-2012-2020.2. База. Сб.1-3104-1-5/1</t>
  </si>
  <si>
    <t>3</t>
  </si>
  <si>
    <t>1.49-9101-7-1/1</t>
  </si>
  <si>
    <t>Механизированная погрузка строительного мусора в автомобили-самосвалы</t>
  </si>
  <si>
    <t>т</t>
  </si>
  <si>
    <t>СН-2012-2020.1. База. Сб.49-9101-7-1/1</t>
  </si>
  <si>
    <t>4</t>
  </si>
  <si>
    <t>1.49-9201-1-2/1</t>
  </si>
  <si>
    <t>Перевозка строительного мусора автосамосвалами грузоподъемностью до 10 т на расстояние 1 км - при механизированной погрузке</t>
  </si>
  <si>
    <t>СН-2012-2020.1. База. Сб.49-9201-1-2/1</t>
  </si>
  <si>
    <t>Подрядные работы, гл. 1 перевозка мусора</t>
  </si>
  <si>
    <t>5</t>
  </si>
  <si>
    <t>1.49-9201-1-3/1</t>
  </si>
  <si>
    <t>Перевозка строительного мусора автосамосвалами грузоподъемностью до 10 т - добавляется на каждый последующий 1 км до 100 км</t>
  </si>
  <si>
    <t>СН-2012-2020.1. База. Сб.49-9201-1-3/1</t>
  </si>
  <si>
    <t>К=26 до 27 км перевозки</t>
  </si>
  <si>
    <t>)*26</t>
  </si>
  <si>
    <t>6</t>
  </si>
  <si>
    <t>21.25-0-5</t>
  </si>
  <si>
    <t>Стоимость приемки отходов строительства и сноса (боя кирпичной кладки, бетонных и железобетонных изделий, отходов бетона и железобетона, асфальтобетона в кусковой форме) для переработки дробильными комплексами</t>
  </si>
  <si>
    <t>СН-2012-2020.21. База. Р.25, поз.5</t>
  </si>
  <si>
    <t>7</t>
  </si>
  <si>
    <t>2.1-3105-10-1/1</t>
  </si>
  <si>
    <t>Устройство водоотводных лотков из сборного бетона на тротуарах при покрытиях бетонной плиткой</t>
  </si>
  <si>
    <t>100 м</t>
  </si>
  <si>
    <t>СН-2012-2020.2. База. Сб.1-3105-10-1/1</t>
  </si>
  <si>
    <t>8</t>
  </si>
  <si>
    <t>1.2-3103-30-7/1</t>
  </si>
  <si>
    <t>Гидроизоляция стен, фундаментов боковая обмазочная битумная в 2 слоя по выровненной поверхности бутовой кладки, кирпичу, бетону</t>
  </si>
  <si>
    <t>СН-2012-2020.1. База. Сб.2-3103-30-7/1</t>
  </si>
  <si>
    <t>9</t>
  </si>
  <si>
    <t>1.2-3103-30-5/1</t>
  </si>
  <si>
    <t>Гидроизоляция стен, фундаментов боковая оклеечная по выровненной поверхности бутовой кладки, кирпичу и бетону в 2 слоя</t>
  </si>
  <si>
    <t>СН-2012-2020.1. База. Сб.2-3103-30-5/1</t>
  </si>
  <si>
    <t>10</t>
  </si>
  <si>
    <t>2.1-3103-15-1/1</t>
  </si>
  <si>
    <t>Устройство покрытий из гранитных малоразмерных плит на цементно-песчаной подушке толщиной 50 мм, смесь марки М150 (без стоимости гранитных плит)</t>
  </si>
  <si>
    <t>СН-2012-2020.2. База. Сб.1-3103-15-1/1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</si>
  <si>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</si>
  <si>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</si>
  <si>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</si>
  <si>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</si>
  <si>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</si>
  <si>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</si>
  <si>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</si>
  <si>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</si>
  <si>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</si>
  <si>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</si>
  <si>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</si>
  <si>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</si>
  <si>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</si>
  <si>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</si>
  <si>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</si>
  <si>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</si>
  <si>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</si>
  <si>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</si>
  <si>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</si>
  <si>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</si>
  <si>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</si>
  <si>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</si>
  <si>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</si>
  <si>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</si>
  <si>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</si>
  <si>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</si>
  <si>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</si>
  <si>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</si>
  <si>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</si>
  <si>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</si>
  <si>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</si>
  <si>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</si>
  <si>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</si>
  <si>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</si>
  <si>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</si>
  <si>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</si>
  <si>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</si>
  <si>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</si>
  <si>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</si>
  <si>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</si>
  <si>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</si>
  <si>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</si>
  <si>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</si>
  <si>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</si>
  <si>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</si>
  <si>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</si>
  <si>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Перевозка</t>
  </si>
  <si>
    <t>Перевозка грузов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</si>
  <si>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</si>
  <si>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</si>
  <si>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</si>
  <si>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</si>
  <si>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</si>
  <si>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</si>
  <si>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и1</t>
  </si>
  <si>
    <t>Итого без СП</t>
  </si>
  <si>
    <t>и2</t>
  </si>
  <si>
    <t>НДС 20% на материлы</t>
  </si>
  <si>
    <t>и3</t>
  </si>
  <si>
    <t>Уровень цен на 01.10.2019 г</t>
  </si>
  <si>
    <t>_OBSM_</t>
  </si>
  <si>
    <t>9999990008</t>
  </si>
  <si>
    <t>Трудозатраты рабочих</t>
  </si>
  <si>
    <t>чел.-ч.</t>
  </si>
  <si>
    <t>22.1-1-43</t>
  </si>
  <si>
    <t>СН-2012-2020.22. База. п.1-1-43 (012102)</t>
  </si>
  <si>
    <t>Бульдозеры гусеничные, мощность до 59 кВт (80 л.с.)</t>
  </si>
  <si>
    <t>маш.-ч</t>
  </si>
  <si>
    <t>22.1-1-5</t>
  </si>
  <si>
    <t>СН-2012-2020.22. База. п.1-1-5 (010109)</t>
  </si>
  <si>
    <t>Экскаваторы на гусеничном ходу гидравлические, объем ковша до 0,65 м3</t>
  </si>
  <si>
    <t>22.1-18-12</t>
  </si>
  <si>
    <t>СН-2012-2020.22. База. п.1-18-12 (184001)</t>
  </si>
  <si>
    <t>Автомобили-самосвалы, грузоподъемность до 7 т</t>
  </si>
  <si>
    <t>22.1-18-13</t>
  </si>
  <si>
    <t>СН-2012-2020.22. База. п.1-18-13 (184002)</t>
  </si>
  <si>
    <t>Автомобили-самосвалы, грузоподъемность до 10 т</t>
  </si>
  <si>
    <t>22.1-4-12</t>
  </si>
  <si>
    <t>СН-2012-2020.22. База. п.1-4-12 (040205)</t>
  </si>
  <si>
    <t>Погрузчики на автомобильном ходу, грузоподъемность до 5 т</t>
  </si>
  <si>
    <t>21.3-1-66</t>
  </si>
  <si>
    <t>СН-2012-2020.21. База. Р.3, о.1, поз.66</t>
  </si>
  <si>
    <t>Смеси бетонные, БСГ, тяжелого бетона на гранитном щебне фракция 5-20, класс прочности: В15 (М200); П1, F100, W2</t>
  </si>
  <si>
    <t>м3</t>
  </si>
  <si>
    <t>21.5-3-146</t>
  </si>
  <si>
    <t>СН-2012-2020.21. База. Р.5, о.3, поз.146</t>
  </si>
  <si>
    <t>Лотки бетонные с решеткой щелевой чугунной ВЧ, водоотводные для тротуаров, марка ЛВ-11.19.23Б</t>
  </si>
  <si>
    <t>компл.</t>
  </si>
  <si>
    <t>21.1-1-5</t>
  </si>
  <si>
    <t>СН-2012-2020.21. База. Р.1, о.1, поз.5</t>
  </si>
  <si>
    <t>Битумы нефтяные, строительные марка БН, БНСК</t>
  </si>
  <si>
    <t>21.1-1-75</t>
  </si>
  <si>
    <t>СН-2012-2020.21. База. Р.1, о.1, поз.75</t>
  </si>
  <si>
    <t>Мастика клеящая морозостойкая, марка МБ-50, битумно-масляная</t>
  </si>
  <si>
    <t>21.1-20-7</t>
  </si>
  <si>
    <t>СН-2012-2020.21. База. Р.1, о.20, поз.7</t>
  </si>
  <si>
    <t>Ветошь</t>
  </si>
  <si>
    <t>кг</t>
  </si>
  <si>
    <t>21.1-4-9</t>
  </si>
  <si>
    <t>СН-2012-2020.21. База. Р.1, о.4, поз.9</t>
  </si>
  <si>
    <t>Керосин</t>
  </si>
  <si>
    <t>21.1-3-44</t>
  </si>
  <si>
    <t>СН-2012-2020.21. База. Р.1, о.3, поз.44</t>
  </si>
  <si>
    <t>Материал рулонный кровельный и гидроизоляционный наплавляемый битумный на основе стеклоткани "Гидростеклоизол", марка ТПП-3,5</t>
  </si>
  <si>
    <t>м2</t>
  </si>
  <si>
    <t>22.1-5-18</t>
  </si>
  <si>
    <t>СН-2012-2020.22. База. п.1-5-18 (050902)</t>
  </si>
  <si>
    <t>Поливомоечные машины, емкость цистерны более 5000 л</t>
  </si>
  <si>
    <t>21.1-25-13</t>
  </si>
  <si>
    <t>СН-2012-2020.21. База. Р.1, о.25, поз.13</t>
  </si>
  <si>
    <t>Вода</t>
  </si>
  <si>
    <t>21.3-2-52</t>
  </si>
  <si>
    <t>СН-2012-2020.21. База. Р.3, о.2, поз.52</t>
  </si>
  <si>
    <t>Смеси сухие монтажно-кладочные цементно-песчаные: В12,5 (М150), F100, крупность заполнителя не более 3,5 мм</t>
  </si>
  <si>
    <t>5714310000</t>
  </si>
  <si>
    <t>Гранитные малоразмерные плиты</t>
  </si>
  <si>
    <t>(локальный сметный расчет)</t>
  </si>
  <si>
    <t>(наименование работ и затрат, наименование объекта)</t>
  </si>
  <si>
    <t>Сметная стоимость</t>
  </si>
  <si>
    <t>тыс.руб</t>
  </si>
  <si>
    <t>Строительные работы</t>
  </si>
  <si>
    <t>Монтажные работы</t>
  </si>
  <si>
    <t>Оборудование</t>
  </si>
  <si>
    <t>Прочие работы</t>
  </si>
  <si>
    <t>Средства на оплату труда</t>
  </si>
  <si>
    <t>№№ п/п</t>
  </si>
  <si>
    <t>Шифр расценки и коды ресурсов</t>
  </si>
  <si>
    <t>Наименование работ и затрат</t>
  </si>
  <si>
    <t>Единица измерения</t>
  </si>
  <si>
    <t>Кол-во единиц</t>
  </si>
  <si>
    <t>Цена на ед. изм. руб.</t>
  </si>
  <si>
    <t>Попра-вочные коэфф.</t>
  </si>
  <si>
    <t>Коэфф. зимних удоро-жаний</t>
  </si>
  <si>
    <t>Коэфф. пересчета</t>
  </si>
  <si>
    <t>ВСЕГО затрат, руб.</t>
  </si>
  <si>
    <t>Справочно</t>
  </si>
  <si>
    <t>ЗТР, всего чел.-час</t>
  </si>
  <si>
    <t>Ст-ть ед. с начислен.</t>
  </si>
  <si>
    <t>Форма № 1а (глава 1-5)</t>
  </si>
  <si>
    <t>Составлен(а) в уровне текущих (прогнозных) цен октябрь 2019 года</t>
  </si>
  <si>
    <t>ЗП</t>
  </si>
  <si>
    <t>НР от ЗП</t>
  </si>
  <si>
    <t>%</t>
  </si>
  <si>
    <t>ЗТР</t>
  </si>
  <si>
    <t>чел-ч</t>
  </si>
  <si>
    <t>ЭМ</t>
  </si>
  <si>
    <t>в т.ч. ЗПМ</t>
  </si>
  <si>
    <t>НР и СП от ЗПМ</t>
  </si>
  <si>
    <r>
      <t>Перевозка строительного мусора автосамосвалами грузоподъемностью до 10 т - добавляется на каждый последующий 1 км до 100 км</t>
    </r>
    <r>
      <rPr>
        <i/>
        <sz val="10"/>
        <rFont val="Arial"/>
        <family val="2"/>
        <charset val="204"/>
      </rPr>
      <t xml:space="preserve">
К=26 до 27 км перевозки</t>
    </r>
  </si>
  <si>
    <t>МР</t>
  </si>
  <si>
    <t>"СОГЛАСОВАНО"</t>
  </si>
  <si>
    <t>___________________________</t>
  </si>
  <si>
    <t>"УТВЕРЖДАЮ"</t>
  </si>
  <si>
    <t>" ___ " ___________ 20 ___ г.</t>
  </si>
  <si>
    <t>№ п/п</t>
  </si>
  <si>
    <t>Количество</t>
  </si>
  <si>
    <t>Примечание</t>
  </si>
  <si>
    <t>Заказчик _________________</t>
  </si>
  <si>
    <t>Подрядчик _________________</t>
  </si>
  <si>
    <t>TYPE</t>
  </si>
  <si>
    <t>SOURCE_LINK</t>
  </si>
  <si>
    <t>RABMAT_EX</t>
  </si>
  <si>
    <t>TIP_RAB</t>
  </si>
  <si>
    <t>TYPE_TRUD</t>
  </si>
  <si>
    <t>TAB</t>
  </si>
  <si>
    <t>NAME</t>
  </si>
  <si>
    <t>EDIZM</t>
  </si>
  <si>
    <t>KOLL</t>
  </si>
  <si>
    <t>UCH</t>
  </si>
  <si>
    <t>PRICE_B</t>
  </si>
  <si>
    <t>PRICE_ED</t>
  </si>
  <si>
    <t>STOIM_B</t>
  </si>
  <si>
    <t>PRICE_C</t>
  </si>
  <si>
    <t>STOIM_C</t>
  </si>
  <si>
    <t>ZPM_B</t>
  </si>
  <si>
    <t>ZPM_ED</t>
  </si>
  <si>
    <t>STOIM_ZPM_B</t>
  </si>
  <si>
    <t>ZPM_C</t>
  </si>
  <si>
    <t>STOIM_ZPM_C</t>
  </si>
  <si>
    <t>CRC_GR_RES</t>
  </si>
  <si>
    <t>CRC_B</t>
  </si>
  <si>
    <t>CRC_C</t>
  </si>
  <si>
    <t>BuildingFinished</t>
  </si>
  <si>
    <t>Trud</t>
  </si>
  <si>
    <t>Mash</t>
  </si>
  <si>
    <t>Mat</t>
  </si>
  <si>
    <t>MatZak</t>
  </si>
  <si>
    <t>Oborud</t>
  </si>
  <si>
    <t>OborudZak</t>
  </si>
  <si>
    <t>ZeroStoim</t>
  </si>
  <si>
    <t>NegativeKoll</t>
  </si>
  <si>
    <t>ReUnionKollResurcy</t>
  </si>
  <si>
    <t>UnionOneUchRes</t>
  </si>
  <si>
    <t>Ресурсная ведомость на</t>
  </si>
  <si>
    <t>Объект: Изменение вертикальных отметок и устройство гидроизоляции по адресу: Краснохолмская наб., д.1_15</t>
  </si>
  <si>
    <t>Обоснование</t>
  </si>
  <si>
    <t>Наименование</t>
  </si>
  <si>
    <t>Объем</t>
  </si>
  <si>
    <t>Текущая</t>
  </si>
  <si>
    <t>цена</t>
  </si>
  <si>
    <t>стоимость</t>
  </si>
  <si>
    <t xml:space="preserve">Материальные ресурсы </t>
  </si>
  <si>
    <t xml:space="preserve">Итого материальные ресурсы </t>
  </si>
  <si>
    <t>Итого по объекту: Изменение вертикальных отметок и устройство гидроизоляции по адресу: Краснохолмская наб., д.1_15</t>
  </si>
  <si>
    <t xml:space="preserve">Итого материалы заказчика </t>
  </si>
  <si>
    <t xml:space="preserve">Итого оборудование </t>
  </si>
  <si>
    <t xml:space="preserve">Итого оборудование заказчика </t>
  </si>
  <si>
    <t>НДС 20% на материалы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</si>
</sst>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"/>
    <numFmt numFmtId="165" formatCode="#,##0.00####;[Red]\-\ #,##0.00####"/>
    <numFmt numFmtId="166" formatCode="#,##0.00;[Red]\-\ #,##0.00"/>
  </numFmts>
  <fonts count="19" x14ac:knownFonts="1">
    <font>
      <sz val="10"/>
      <name val="Arial"/>
      <charset val="204"/>
    </font>
    <font>
      <b/>
      <sz val="10"/>
      <color indexed="12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sz val="11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0" fillId="0" borderId="0" xfId="0" applyAlignment="1"/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164" fontId="10" fillId="0" borderId="0" xfId="0" applyNumberFormat="1" applyFont="1"/>
    <xf numFmtId="1" fontId="10" fillId="0" borderId="0" xfId="0" applyNumberFormat="1" applyFont="1"/>
    <xf numFmtId="0" fontId="10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right"/>
    </xf>
    <xf numFmtId="0" fontId="14" fillId="0" borderId="0" xfId="0" applyFont="1" applyAlignment="1">
      <alignment horizontal="right" wrapText="1"/>
    </xf>
    <xf numFmtId="0" fontId="10" fillId="0" borderId="0" xfId="0" applyFont="1" applyAlignment="1">
      <alignment horizontal="right" wrapText="1"/>
    </xf>
    <xf numFmtId="165" fontId="10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0" fontId="8" fillId="0" borderId="0" xfId="0" applyFont="1" applyAlignment="1">
      <alignment wrapText="1"/>
    </xf>
    <xf numFmtId="166" fontId="0" fillId="0" borderId="0" xfId="0" applyNumberFormat="1"/>
    <xf numFmtId="166" fontId="10" fillId="0" borderId="0" xfId="0" applyNumberFormat="1" applyFont="1" applyAlignment="1">
      <alignment horizontal="right"/>
    </xf>
    <xf numFmtId="166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0" fontId="0" fillId="0" borderId="5" xfId="0" applyBorder="1"/>
    <xf numFmtId="166" fontId="17" fillId="0" borderId="5" xfId="0" applyNumberFormat="1" applyFont="1" applyBorder="1" applyAlignment="1">
      <alignment horizontal="right"/>
    </xf>
    <xf numFmtId="166" fontId="17" fillId="0" borderId="5" xfId="0" applyNumberFormat="1" applyFont="1" applyBorder="1" applyAlignment="1">
      <alignment horizontal="right"/>
    </xf>
    <xf numFmtId="166" fontId="14" fillId="0" borderId="0" xfId="0" applyNumberFormat="1" applyFont="1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17" fillId="0" borderId="0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1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right" wrapText="1"/>
    </xf>
    <xf numFmtId="0" fontId="10" fillId="0" borderId="3" xfId="0" applyFont="1" applyBorder="1" applyAlignment="1">
      <alignment horizontal="right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right" wrapText="1"/>
    </xf>
    <xf numFmtId="0" fontId="10" fillId="0" borderId="2" xfId="0" applyFont="1" applyBorder="1" applyAlignment="1">
      <alignment horizontal="right"/>
    </xf>
    <xf numFmtId="0" fontId="16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3" xfId="0" quotePrefix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top" wrapText="1"/>
    </xf>
    <xf numFmtId="166" fontId="10" fillId="0" borderId="3" xfId="0" applyNumberFormat="1" applyFont="1" applyBorder="1" applyAlignment="1">
      <alignment horizontal="right" wrapText="1"/>
    </xf>
    <xf numFmtId="0" fontId="17" fillId="0" borderId="3" xfId="0" applyFont="1" applyBorder="1" applyAlignment="1">
      <alignment horizontal="right"/>
    </xf>
    <xf numFmtId="166" fontId="17" fillId="0" borderId="3" xfId="0" applyNumberFormat="1" applyFont="1" applyBorder="1" applyAlignment="1">
      <alignment horizontal="right"/>
    </xf>
    <xf numFmtId="0" fontId="16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8"/>
  <sheetViews>
    <sheetView tabSelected="1" topLeftCell="A78" zoomScaleNormal="100" workbookViewId="0">
      <selection activeCell="D97" sqref="C97:H97"/>
    </sheetView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6" width="11.7109375" customWidth="1"/>
    <col min="7" max="7" width="12.7109375" customWidth="1"/>
    <col min="9" max="11" width="12.7109375" customWidth="1"/>
    <col min="15" max="31" width="0" hidden="1" customWidth="1"/>
    <col min="32" max="32" width="113.140625" hidden="1" customWidth="1"/>
    <col min="33" max="36" width="0" hidden="1" customWidth="1"/>
  </cols>
  <sheetData>
    <row r="1" spans="1:11" x14ac:dyDescent="0.2">
      <c r="A1" s="8" t="str">
        <f>CONCATENATE(Source!B1, "     СН-2012 (© ОАО МЦЦС 'Мосстройцены', ", "2020", ")")</f>
        <v>Smeta.RU  (495) 974-1589     СН-2012 (© ОАО МЦЦС 'Мосстройцены', 2020)</v>
      </c>
    </row>
    <row r="2" spans="1:11" ht="14.25" x14ac:dyDescent="0.2">
      <c r="A2" s="9"/>
      <c r="B2" s="9"/>
      <c r="C2" s="9"/>
      <c r="D2" s="9"/>
      <c r="E2" s="9"/>
      <c r="F2" s="9"/>
      <c r="G2" s="9"/>
      <c r="H2" s="9"/>
      <c r="I2" s="9"/>
      <c r="J2" s="18" t="s">
        <v>202</v>
      </c>
      <c r="K2" s="18"/>
    </row>
    <row r="3" spans="1:11" ht="15.75" x14ac:dyDescent="0.25">
      <c r="A3" s="10" t="str">
        <f>CONCATENATE( "ЛОКАЛЬНАЯ СМЕТА № ",IF(Source!F12&lt;&gt;"Новый объект", Source!F12, ""))</f>
        <v>ЛОКАЛЬНАЯ СМЕТА № 1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x14ac:dyDescent="0.2">
      <c r="A4" s="12" t="s">
        <v>180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4.25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8" hidden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4.25" hidden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ht="18" x14ac:dyDescent="0.25">
      <c r="A8" s="14" t="str">
        <f>IF(Source!G12&lt;&gt;"Новый объект", Source!G12, "")</f>
        <v>Изменение вертикальных отметок и устройство гидроизоляции по адресу: Краснохолмская наб., д.1_15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x14ac:dyDescent="0.2">
      <c r="A9" s="12" t="s">
        <v>181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14.25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4.25" x14ac:dyDescent="0.2">
      <c r="A11" s="16" t="str">
        <f>CONCATENATE( "Основание: чертежи № ", Source!J12)</f>
        <v xml:space="preserve">Основание: чертежи № 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4.25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14.25" x14ac:dyDescent="0.2">
      <c r="A13" s="9"/>
      <c r="B13" s="9"/>
      <c r="C13" s="9"/>
      <c r="D13" s="9"/>
      <c r="E13" s="9"/>
      <c r="F13" s="17" t="s">
        <v>182</v>
      </c>
      <c r="G13" s="17"/>
      <c r="H13" s="17"/>
      <c r="I13" s="36">
        <f>(Source!F97/1000)</f>
        <v>3197.27286</v>
      </c>
      <c r="J13" s="18"/>
      <c r="K13" s="9" t="s">
        <v>183</v>
      </c>
    </row>
    <row r="14" spans="1:11" ht="14.25" hidden="1" x14ac:dyDescent="0.2">
      <c r="A14" s="9"/>
      <c r="B14" s="9"/>
      <c r="C14" s="9"/>
      <c r="D14" s="9"/>
      <c r="E14" s="9"/>
      <c r="F14" s="17" t="s">
        <v>184</v>
      </c>
      <c r="G14" s="17"/>
      <c r="H14" s="17"/>
      <c r="I14" s="36">
        <f>(Source!F83)/1000</f>
        <v>0</v>
      </c>
      <c r="J14" s="18"/>
      <c r="K14" s="9" t="s">
        <v>183</v>
      </c>
    </row>
    <row r="15" spans="1:11" ht="14.25" hidden="1" x14ac:dyDescent="0.2">
      <c r="A15" s="9"/>
      <c r="B15" s="9"/>
      <c r="C15" s="9"/>
      <c r="D15" s="9"/>
      <c r="E15" s="9"/>
      <c r="F15" s="17" t="s">
        <v>185</v>
      </c>
      <c r="G15" s="17"/>
      <c r="H15" s="17"/>
      <c r="I15" s="36">
        <f>(Source!F84)/1000</f>
        <v>0</v>
      </c>
      <c r="J15" s="18"/>
      <c r="K15" s="9" t="s">
        <v>183</v>
      </c>
    </row>
    <row r="16" spans="1:11" ht="14.25" hidden="1" x14ac:dyDescent="0.2">
      <c r="A16" s="9"/>
      <c r="B16" s="9"/>
      <c r="C16" s="9"/>
      <c r="D16" s="9"/>
      <c r="E16" s="9"/>
      <c r="F16" s="17" t="s">
        <v>186</v>
      </c>
      <c r="G16" s="17"/>
      <c r="H16" s="17"/>
      <c r="I16" s="36">
        <f>(Source!F75)/1000</f>
        <v>0</v>
      </c>
      <c r="J16" s="18"/>
      <c r="K16" s="9" t="s">
        <v>183</v>
      </c>
    </row>
    <row r="17" spans="1:22" ht="14.25" hidden="1" x14ac:dyDescent="0.2">
      <c r="A17" s="9"/>
      <c r="B17" s="9"/>
      <c r="C17" s="9"/>
      <c r="D17" s="9"/>
      <c r="E17" s="9"/>
      <c r="F17" s="17" t="s">
        <v>187</v>
      </c>
      <c r="G17" s="17"/>
      <c r="H17" s="17"/>
      <c r="I17" s="36">
        <f>(Source!F85+Source!F86)/1000</f>
        <v>2981.4712100000002</v>
      </c>
      <c r="J17" s="18"/>
      <c r="K17" s="9" t="s">
        <v>183</v>
      </c>
    </row>
    <row r="18" spans="1:22" ht="14.25" x14ac:dyDescent="0.2">
      <c r="A18" s="9"/>
      <c r="B18" s="9"/>
      <c r="C18" s="9"/>
      <c r="D18" s="9"/>
      <c r="E18" s="9"/>
      <c r="F18" s="17" t="s">
        <v>188</v>
      </c>
      <c r="G18" s="17"/>
      <c r="H18" s="17"/>
      <c r="I18" s="36">
        <f>(Source!F81+ Source!F80)/1000</f>
        <v>1097.95724</v>
      </c>
      <c r="J18" s="18"/>
      <c r="K18" s="9" t="s">
        <v>183</v>
      </c>
    </row>
    <row r="19" spans="1:22" ht="14.25" x14ac:dyDescent="0.2">
      <c r="A19" s="9" t="s">
        <v>203</v>
      </c>
      <c r="B19" s="9"/>
      <c r="C19" s="9"/>
      <c r="D19" s="19"/>
      <c r="E19" s="20"/>
      <c r="F19" s="9"/>
      <c r="G19" s="9"/>
      <c r="H19" s="9"/>
      <c r="I19" s="9"/>
      <c r="J19" s="9"/>
      <c r="K19" s="9"/>
    </row>
    <row r="20" spans="1:22" ht="14.25" x14ac:dyDescent="0.2">
      <c r="A20" s="21" t="s">
        <v>189</v>
      </c>
      <c r="B20" s="21" t="s">
        <v>190</v>
      </c>
      <c r="C20" s="21" t="s">
        <v>191</v>
      </c>
      <c r="D20" s="21" t="s">
        <v>192</v>
      </c>
      <c r="E20" s="21" t="s">
        <v>193</v>
      </c>
      <c r="F20" s="21" t="s">
        <v>194</v>
      </c>
      <c r="G20" s="21" t="s">
        <v>195</v>
      </c>
      <c r="H20" s="21" t="s">
        <v>196</v>
      </c>
      <c r="I20" s="21" t="s">
        <v>197</v>
      </c>
      <c r="J20" s="21" t="s">
        <v>198</v>
      </c>
      <c r="K20" s="22" t="s">
        <v>199</v>
      </c>
    </row>
    <row r="21" spans="1:22" ht="28.5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4" t="s">
        <v>200</v>
      </c>
    </row>
    <row r="22" spans="1:22" ht="28.5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4" t="s">
        <v>201</v>
      </c>
    </row>
    <row r="23" spans="1:22" ht="14.25" x14ac:dyDescent="0.2">
      <c r="A23" s="24">
        <v>1</v>
      </c>
      <c r="B23" s="24">
        <v>2</v>
      </c>
      <c r="C23" s="24">
        <v>3</v>
      </c>
      <c r="D23" s="24">
        <v>4</v>
      </c>
      <c r="E23" s="24">
        <v>5</v>
      </c>
      <c r="F23" s="24">
        <v>6</v>
      </c>
      <c r="G23" s="24">
        <v>7</v>
      </c>
      <c r="H23" s="24">
        <v>8</v>
      </c>
      <c r="I23" s="24">
        <v>9</v>
      </c>
      <c r="J23" s="24">
        <v>10</v>
      </c>
      <c r="K23" s="24">
        <v>11</v>
      </c>
    </row>
    <row r="25" spans="1:22" ht="16.5" x14ac:dyDescent="0.25">
      <c r="A25" s="25" t="str">
        <f>CONCATENATE("Локальная смета: ",IF(Source!G20&lt;&gt;"Новая локальная смета", Source!G20, ""))</f>
        <v xml:space="preserve">Локальная смета: 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22" ht="28.5" x14ac:dyDescent="0.2">
      <c r="A26" s="26" t="str">
        <f>Source!E25</f>
        <v>1</v>
      </c>
      <c r="B26" s="27" t="str">
        <f>Source!F25</f>
        <v>2.1-3104-4-1/1</v>
      </c>
      <c r="C26" s="27" t="str">
        <f>Source!G25</f>
        <v>Разборка тротуаров и дорожек из плит с отноской и укладкой в штабель</v>
      </c>
      <c r="D26" s="30" t="str">
        <f>Source!H25</f>
        <v>100 м2</v>
      </c>
      <c r="E26" s="29">
        <f>Source!I25</f>
        <v>8.36</v>
      </c>
      <c r="F26" s="32"/>
      <c r="G26" s="31"/>
      <c r="H26" s="29"/>
      <c r="I26" s="29"/>
      <c r="J26" s="33"/>
      <c r="K26" s="33"/>
      <c r="Q26">
        <f>ROUND((Source!BZ25/100)*ROUND((Source!AF25*Source!AV25)*Source!I25, 2), 2)</f>
        <v>17019.310000000001</v>
      </c>
      <c r="R26">
        <f>Source!X25</f>
        <v>17019.310000000001</v>
      </c>
      <c r="S26">
        <f>ROUND((Source!CA25/100)*ROUND((Source!AF25*Source!AV25)*Source!I25, 2), 2)</f>
        <v>0</v>
      </c>
      <c r="T26">
        <f>Source!Y25</f>
        <v>0</v>
      </c>
      <c r="U26">
        <f>ROUND((175/100)*ROUND((Source!AE25*Source!AV25)*Source!I25, 2), 2)</f>
        <v>0</v>
      </c>
      <c r="V26">
        <f>ROUND((78/100)*ROUND(Source!CS25*Source!I25, 2), 2)</f>
        <v>0</v>
      </c>
    </row>
    <row r="27" spans="1:22" x14ac:dyDescent="0.2">
      <c r="C27" s="34" t="str">
        <f>"Объем: "&amp;Source!I25&amp;"="&amp;Source!I24&amp;"/"&amp;"100"</f>
        <v>Объем: 8,36=836/100</v>
      </c>
    </row>
    <row r="28" spans="1:22" ht="14.25" x14ac:dyDescent="0.2">
      <c r="A28" s="26"/>
      <c r="B28" s="27"/>
      <c r="C28" s="27" t="s">
        <v>204</v>
      </c>
      <c r="D28" s="30"/>
      <c r="E28" s="29"/>
      <c r="F28" s="32">
        <f>Source!AO25</f>
        <v>2908.29</v>
      </c>
      <c r="G28" s="31" t="str">
        <f>Source!DG25</f>
        <v/>
      </c>
      <c r="H28" s="29">
        <f>Source!AV25</f>
        <v>1</v>
      </c>
      <c r="I28" s="29">
        <f>IF(Source!BA25&lt;&gt; 0, Source!BA25, 1)</f>
        <v>1</v>
      </c>
      <c r="J28" s="33">
        <f>Source!S25</f>
        <v>24313.3</v>
      </c>
      <c r="K28" s="33"/>
    </row>
    <row r="29" spans="1:22" ht="14.25" x14ac:dyDescent="0.2">
      <c r="A29" s="26"/>
      <c r="B29" s="27"/>
      <c r="C29" s="27" t="s">
        <v>205</v>
      </c>
      <c r="D29" s="30" t="s">
        <v>206</v>
      </c>
      <c r="E29" s="29">
        <f>Source!AT25</f>
        <v>70</v>
      </c>
      <c r="F29" s="32"/>
      <c r="G29" s="31"/>
      <c r="H29" s="29"/>
      <c r="I29" s="29"/>
      <c r="J29" s="33">
        <f>SUM(R26:R28)</f>
        <v>17019.310000000001</v>
      </c>
      <c r="K29" s="33"/>
    </row>
    <row r="30" spans="1:22" ht="14.25" x14ac:dyDescent="0.2">
      <c r="A30" s="26"/>
      <c r="B30" s="27"/>
      <c r="C30" s="27" t="s">
        <v>207</v>
      </c>
      <c r="D30" s="30" t="s">
        <v>208</v>
      </c>
      <c r="E30" s="29">
        <f>Source!AQ25</f>
        <v>18.68</v>
      </c>
      <c r="F30" s="32"/>
      <c r="G30" s="31" t="str">
        <f>Source!DI25</f>
        <v/>
      </c>
      <c r="H30" s="29">
        <f>Source!AV25</f>
        <v>1</v>
      </c>
      <c r="I30" s="29"/>
      <c r="J30" s="33"/>
      <c r="K30" s="33">
        <f>Source!U25</f>
        <v>156.16479999999999</v>
      </c>
    </row>
    <row r="31" spans="1:22" ht="15" x14ac:dyDescent="0.25">
      <c r="A31" s="39"/>
      <c r="B31" s="39"/>
      <c r="C31" s="39"/>
      <c r="D31" s="39"/>
      <c r="E31" s="39"/>
      <c r="F31" s="39"/>
      <c r="G31" s="39"/>
      <c r="H31" s="39"/>
      <c r="I31" s="40">
        <f>J28+J29</f>
        <v>41332.61</v>
      </c>
      <c r="J31" s="40"/>
      <c r="K31" s="41">
        <f>IF(Source!I25&lt;&gt;0, ROUND(I31/Source!I25, 2), 0)</f>
        <v>4944.09</v>
      </c>
      <c r="P31" s="35">
        <f>I31</f>
        <v>41332.61</v>
      </c>
    </row>
    <row r="32" spans="1:22" ht="28.5" x14ac:dyDescent="0.2">
      <c r="A32" s="26" t="str">
        <f>Source!E26</f>
        <v>2</v>
      </c>
      <c r="B32" s="27" t="str">
        <f>Source!F26</f>
        <v>2.1-3104-1-5/1</v>
      </c>
      <c r="C32" s="27" t="str">
        <f>Source!G26</f>
        <v>Разборка покрытий и оснований цементобетонных</v>
      </c>
      <c r="D32" s="30" t="str">
        <f>Source!H26</f>
        <v>100 м3</v>
      </c>
      <c r="E32" s="29">
        <f>Source!I26</f>
        <v>0.49959999999999999</v>
      </c>
      <c r="F32" s="32"/>
      <c r="G32" s="31"/>
      <c r="H32" s="29"/>
      <c r="I32" s="29"/>
      <c r="J32" s="33"/>
      <c r="K32" s="33"/>
      <c r="Q32">
        <f>ROUND((Source!BZ26/100)*ROUND((Source!AF26*Source!AV26)*Source!I26, 2), 2)</f>
        <v>4060.68</v>
      </c>
      <c r="R32">
        <f>Source!X26</f>
        <v>4060.68</v>
      </c>
      <c r="S32">
        <f>ROUND((Source!CA26/100)*ROUND((Source!AF26*Source!AV26)*Source!I26, 2), 2)</f>
        <v>0</v>
      </c>
      <c r="T32">
        <f>Source!Y26</f>
        <v>0</v>
      </c>
      <c r="U32">
        <f>ROUND((175/100)*ROUND((Source!AE26*Source!AV26)*Source!I26, 2), 2)</f>
        <v>4005.35</v>
      </c>
      <c r="V32">
        <f>ROUND((78/100)*ROUND(Source!CS26*Source!I26, 2), 2)</f>
        <v>1785.24</v>
      </c>
    </row>
    <row r="33" spans="1:22" ht="25.5" x14ac:dyDescent="0.2">
      <c r="C33" s="34" t="str">
        <f>"Объем: "&amp;Source!I26&amp;"=("&amp;Source!I24&amp;"*"&amp;"0,05)/"&amp;"100+"&amp;""&amp;Source!I31&amp;"*"&amp;"(0,043+"&amp;"0,059)"</f>
        <v>Объем: 0,4996=(836*0,05)/100+0,8*(0,043+0,059)</v>
      </c>
    </row>
    <row r="34" spans="1:22" ht="14.25" x14ac:dyDescent="0.2">
      <c r="A34" s="26"/>
      <c r="B34" s="27"/>
      <c r="C34" s="27" t="s">
        <v>204</v>
      </c>
      <c r="D34" s="30"/>
      <c r="E34" s="29"/>
      <c r="F34" s="32">
        <f>Source!AO26</f>
        <v>11611.22</v>
      </c>
      <c r="G34" s="31" t="str">
        <f>Source!DG26</f>
        <v/>
      </c>
      <c r="H34" s="29">
        <f>Source!AV26</f>
        <v>1</v>
      </c>
      <c r="I34" s="29">
        <f>IF(Source!BA26&lt;&gt; 0, Source!BA26, 1)</f>
        <v>1</v>
      </c>
      <c r="J34" s="33">
        <f>Source!S26</f>
        <v>5800.97</v>
      </c>
      <c r="K34" s="33"/>
    </row>
    <row r="35" spans="1:22" ht="14.25" x14ac:dyDescent="0.2">
      <c r="A35" s="26"/>
      <c r="B35" s="27"/>
      <c r="C35" s="27" t="s">
        <v>209</v>
      </c>
      <c r="D35" s="30"/>
      <c r="E35" s="29"/>
      <c r="F35" s="32">
        <f>Source!AM26</f>
        <v>14061.83</v>
      </c>
      <c r="G35" s="31" t="str">
        <f>Source!DE26</f>
        <v/>
      </c>
      <c r="H35" s="29">
        <f>Source!AV26</f>
        <v>1</v>
      </c>
      <c r="I35" s="29">
        <f>IF(Source!BB26&lt;&gt; 0, Source!BB26, 1)</f>
        <v>1</v>
      </c>
      <c r="J35" s="33">
        <f>Source!Q26</f>
        <v>7025.29</v>
      </c>
      <c r="K35" s="33"/>
    </row>
    <row r="36" spans="1:22" ht="14.25" x14ac:dyDescent="0.2">
      <c r="A36" s="26"/>
      <c r="B36" s="27"/>
      <c r="C36" s="27" t="s">
        <v>210</v>
      </c>
      <c r="D36" s="30"/>
      <c r="E36" s="29"/>
      <c r="F36" s="32">
        <f>Source!AN26</f>
        <v>4581.2</v>
      </c>
      <c r="G36" s="31" t="str">
        <f>Source!DF26</f>
        <v/>
      </c>
      <c r="H36" s="29">
        <f>Source!AV26</f>
        <v>1</v>
      </c>
      <c r="I36" s="29">
        <f>IF(Source!BS26&lt;&gt; 0, Source!BS26, 1)</f>
        <v>1</v>
      </c>
      <c r="J36" s="42">
        <f>Source!R26</f>
        <v>2288.77</v>
      </c>
      <c r="K36" s="33"/>
    </row>
    <row r="37" spans="1:22" ht="14.25" x14ac:dyDescent="0.2">
      <c r="A37" s="26"/>
      <c r="B37" s="27"/>
      <c r="C37" s="27" t="s">
        <v>205</v>
      </c>
      <c r="D37" s="30" t="s">
        <v>206</v>
      </c>
      <c r="E37" s="29">
        <f>Source!AT26</f>
        <v>70</v>
      </c>
      <c r="F37" s="32"/>
      <c r="G37" s="31"/>
      <c r="H37" s="29"/>
      <c r="I37" s="29"/>
      <c r="J37" s="33">
        <f>SUM(R32:R36)</f>
        <v>4060.68</v>
      </c>
      <c r="K37" s="33"/>
    </row>
    <row r="38" spans="1:22" ht="14.25" x14ac:dyDescent="0.2">
      <c r="A38" s="26"/>
      <c r="B38" s="27"/>
      <c r="C38" s="27" t="s">
        <v>211</v>
      </c>
      <c r="D38" s="30" t="s">
        <v>206</v>
      </c>
      <c r="E38" s="29">
        <f>78</f>
        <v>78</v>
      </c>
      <c r="F38" s="32"/>
      <c r="G38" s="31"/>
      <c r="H38" s="29"/>
      <c r="I38" s="29"/>
      <c r="J38" s="33">
        <f>SUM(V32:V37)</f>
        <v>1785.24</v>
      </c>
      <c r="K38" s="33"/>
    </row>
    <row r="39" spans="1:22" ht="14.25" x14ac:dyDescent="0.2">
      <c r="A39" s="26"/>
      <c r="B39" s="27"/>
      <c r="C39" s="27" t="s">
        <v>207</v>
      </c>
      <c r="D39" s="30" t="s">
        <v>208</v>
      </c>
      <c r="E39" s="29">
        <f>Source!AQ26</f>
        <v>49.5</v>
      </c>
      <c r="F39" s="32"/>
      <c r="G39" s="31" t="str">
        <f>Source!DI26</f>
        <v/>
      </c>
      <c r="H39" s="29">
        <f>Source!AV26</f>
        <v>1</v>
      </c>
      <c r="I39" s="29"/>
      <c r="J39" s="33"/>
      <c r="K39" s="33">
        <f>Source!U26</f>
        <v>24.7302</v>
      </c>
    </row>
    <row r="40" spans="1:22" ht="15" x14ac:dyDescent="0.25">
      <c r="A40" s="39"/>
      <c r="B40" s="39"/>
      <c r="C40" s="39"/>
      <c r="D40" s="39"/>
      <c r="E40" s="39"/>
      <c r="F40" s="39"/>
      <c r="G40" s="39"/>
      <c r="H40" s="39"/>
      <c r="I40" s="40">
        <f>J34+J35+J37+J38</f>
        <v>18672.18</v>
      </c>
      <c r="J40" s="40"/>
      <c r="K40" s="41">
        <f>IF(Source!I26&lt;&gt;0, ROUND(I40/Source!I26, 2), 0)</f>
        <v>37374.26</v>
      </c>
      <c r="P40" s="35">
        <f>I40</f>
        <v>18672.18</v>
      </c>
    </row>
    <row r="41" spans="1:22" ht="42.75" x14ac:dyDescent="0.2">
      <c r="A41" s="26" t="str">
        <f>Source!E27</f>
        <v>3</v>
      </c>
      <c r="B41" s="27" t="str">
        <f>Source!F27</f>
        <v>1.49-9101-7-1/1</v>
      </c>
      <c r="C41" s="27" t="str">
        <f>Source!G27</f>
        <v>Механизированная погрузка строительного мусора в автомобили-самосвалы</v>
      </c>
      <c r="D41" s="30" t="str">
        <f>Source!H27</f>
        <v>т</v>
      </c>
      <c r="E41" s="29">
        <f>Source!I27</f>
        <v>119.904</v>
      </c>
      <c r="F41" s="32"/>
      <c r="G41" s="31"/>
      <c r="H41" s="29"/>
      <c r="I41" s="29"/>
      <c r="J41" s="33"/>
      <c r="K41" s="33"/>
      <c r="Q41">
        <f>ROUND((Source!BZ27/100)*ROUND((Source!AF27*Source!AV27)*Source!I27, 2), 2)</f>
        <v>0</v>
      </c>
      <c r="R41">
        <f>Source!X27</f>
        <v>0</v>
      </c>
      <c r="S41">
        <f>ROUND((Source!CA27/100)*ROUND((Source!AF27*Source!AV27)*Source!I27, 2), 2)</f>
        <v>0</v>
      </c>
      <c r="T41">
        <f>Source!Y27</f>
        <v>0</v>
      </c>
      <c r="U41">
        <f>ROUND((175/100)*ROUND((Source!AE27*Source!AV27)*Source!I27, 2), 2)</f>
        <v>5159.7700000000004</v>
      </c>
      <c r="V41">
        <f>ROUND((78/100)*ROUND(Source!CS27*Source!I27, 2), 2)</f>
        <v>2299.7800000000002</v>
      </c>
    </row>
    <row r="42" spans="1:22" x14ac:dyDescent="0.2">
      <c r="C42" s="34" t="str">
        <f>"Объем: "&amp;Source!I27&amp;"="&amp;Source!I26&amp;"*"&amp;"100*"&amp;"2,4"</f>
        <v>Объем: 119,904=0,4996*100*2,4</v>
      </c>
    </row>
    <row r="43" spans="1:22" ht="14.25" x14ac:dyDescent="0.2">
      <c r="A43" s="26"/>
      <c r="B43" s="27"/>
      <c r="C43" s="27" t="s">
        <v>209</v>
      </c>
      <c r="D43" s="30"/>
      <c r="E43" s="29"/>
      <c r="F43" s="32">
        <f>Source!AM27</f>
        <v>77.959999999999994</v>
      </c>
      <c r="G43" s="31" t="str">
        <f>Source!DE27</f>
        <v/>
      </c>
      <c r="H43" s="29">
        <f>Source!AV27</f>
        <v>1</v>
      </c>
      <c r="I43" s="29">
        <f>IF(Source!BB27&lt;&gt; 0, Source!BB27, 1)</f>
        <v>1</v>
      </c>
      <c r="J43" s="33">
        <f>Source!Q27</f>
        <v>9347.7199999999993</v>
      </c>
      <c r="K43" s="33"/>
    </row>
    <row r="44" spans="1:22" ht="14.25" x14ac:dyDescent="0.2">
      <c r="A44" s="26"/>
      <c r="B44" s="27"/>
      <c r="C44" s="27" t="s">
        <v>210</v>
      </c>
      <c r="D44" s="30"/>
      <c r="E44" s="29"/>
      <c r="F44" s="32">
        <f>Source!AN27</f>
        <v>24.59</v>
      </c>
      <c r="G44" s="31" t="str">
        <f>Source!DF27</f>
        <v/>
      </c>
      <c r="H44" s="29">
        <f>Source!AV27</f>
        <v>1</v>
      </c>
      <c r="I44" s="29">
        <f>IF(Source!BS27&lt;&gt; 0, Source!BS27, 1)</f>
        <v>1</v>
      </c>
      <c r="J44" s="42">
        <f>Source!R27</f>
        <v>2948.44</v>
      </c>
      <c r="K44" s="33"/>
    </row>
    <row r="45" spans="1:22" ht="14.25" x14ac:dyDescent="0.2">
      <c r="A45" s="26"/>
      <c r="B45" s="27"/>
      <c r="C45" s="27" t="s">
        <v>211</v>
      </c>
      <c r="D45" s="30" t="s">
        <v>206</v>
      </c>
      <c r="E45" s="29">
        <f>78</f>
        <v>78</v>
      </c>
      <c r="F45" s="32"/>
      <c r="G45" s="31"/>
      <c r="H45" s="29"/>
      <c r="I45" s="29"/>
      <c r="J45" s="33">
        <f>SUM(V41:V44)</f>
        <v>2299.7800000000002</v>
      </c>
      <c r="K45" s="33"/>
    </row>
    <row r="46" spans="1:22" ht="15" x14ac:dyDescent="0.25">
      <c r="A46" s="39"/>
      <c r="B46" s="39"/>
      <c r="C46" s="39"/>
      <c r="D46" s="39"/>
      <c r="E46" s="39"/>
      <c r="F46" s="39"/>
      <c r="G46" s="39"/>
      <c r="H46" s="39"/>
      <c r="I46" s="40">
        <f>J43+J45</f>
        <v>11647.5</v>
      </c>
      <c r="J46" s="40"/>
      <c r="K46" s="41">
        <f>IF(Source!I27&lt;&gt;0, ROUND(I46/Source!I27, 2), 0)</f>
        <v>97.14</v>
      </c>
      <c r="P46" s="35">
        <f>I46</f>
        <v>11647.5</v>
      </c>
    </row>
    <row r="47" spans="1:22" ht="57" x14ac:dyDescent="0.2">
      <c r="A47" s="26" t="str">
        <f>Source!E28</f>
        <v>4</v>
      </c>
      <c r="B47" s="27" t="str">
        <f>Source!F28</f>
        <v>1.49-9201-1-2/1</v>
      </c>
      <c r="C47" s="27" t="str">
        <f>Source!G28</f>
        <v>Перевозка строительного мусора автосамосвалами грузоподъемностью до 10 т на расстояние 1 км - при механизированной погрузке</v>
      </c>
      <c r="D47" s="30" t="str">
        <f>Source!H28</f>
        <v>т</v>
      </c>
      <c r="E47" s="29">
        <f>Source!I28</f>
        <v>119.904</v>
      </c>
      <c r="F47" s="32"/>
      <c r="G47" s="31"/>
      <c r="H47" s="29"/>
      <c r="I47" s="29"/>
      <c r="J47" s="33"/>
      <c r="K47" s="33"/>
      <c r="Q47">
        <f>ROUND((Source!BZ28/100)*ROUND((Source!AF28*Source!AV28)*Source!I28, 2), 2)</f>
        <v>0</v>
      </c>
      <c r="R47">
        <f>Source!X28</f>
        <v>0</v>
      </c>
      <c r="S47">
        <f>ROUND((Source!CA28/100)*ROUND((Source!AF28*Source!AV28)*Source!I28, 2), 2)</f>
        <v>0</v>
      </c>
      <c r="T47">
        <f>Source!Y28</f>
        <v>0</v>
      </c>
      <c r="U47">
        <f>ROUND((175/100)*ROUND((Source!AE28*Source!AV28)*Source!I28, 2), 2)</f>
        <v>7767.99</v>
      </c>
      <c r="V47">
        <f>ROUND((78/100)*ROUND(Source!CS28*Source!I28, 2), 2)</f>
        <v>3462.3</v>
      </c>
    </row>
    <row r="48" spans="1:22" ht="14.25" x14ac:dyDescent="0.2">
      <c r="A48" s="26"/>
      <c r="B48" s="27"/>
      <c r="C48" s="27" t="s">
        <v>209</v>
      </c>
      <c r="D48" s="30"/>
      <c r="E48" s="29"/>
      <c r="F48" s="32">
        <f>Source!AM28</f>
        <v>62.5</v>
      </c>
      <c r="G48" s="31" t="str">
        <f>Source!DE28</f>
        <v/>
      </c>
      <c r="H48" s="29">
        <f>Source!AV28</f>
        <v>1</v>
      </c>
      <c r="I48" s="29">
        <f>IF(Source!BB28&lt;&gt; 0, Source!BB28, 1)</f>
        <v>1</v>
      </c>
      <c r="J48" s="33">
        <f>Source!Q28</f>
        <v>7494</v>
      </c>
      <c r="K48" s="33"/>
    </row>
    <row r="49" spans="1:22" ht="14.25" x14ac:dyDescent="0.2">
      <c r="A49" s="26"/>
      <c r="B49" s="27"/>
      <c r="C49" s="27" t="s">
        <v>210</v>
      </c>
      <c r="D49" s="30"/>
      <c r="E49" s="29"/>
      <c r="F49" s="32">
        <f>Source!AN28</f>
        <v>37.020000000000003</v>
      </c>
      <c r="G49" s="31" t="str">
        <f>Source!DF28</f>
        <v/>
      </c>
      <c r="H49" s="29">
        <f>Source!AV28</f>
        <v>1</v>
      </c>
      <c r="I49" s="29">
        <f>IF(Source!BS28&lt;&gt; 0, Source!BS28, 1)</f>
        <v>1</v>
      </c>
      <c r="J49" s="42">
        <f>Source!R28</f>
        <v>4438.8500000000004</v>
      </c>
      <c r="K49" s="33"/>
    </row>
    <row r="50" spans="1:22" ht="15" x14ac:dyDescent="0.25">
      <c r="A50" s="39"/>
      <c r="B50" s="39"/>
      <c r="C50" s="39"/>
      <c r="D50" s="39"/>
      <c r="E50" s="39"/>
      <c r="F50" s="39"/>
      <c r="G50" s="39"/>
      <c r="H50" s="39"/>
      <c r="I50" s="40">
        <f>J48</f>
        <v>7494</v>
      </c>
      <c r="J50" s="40"/>
      <c r="K50" s="41">
        <f>IF(Source!I28&lt;&gt;0, ROUND(I50/Source!I28, 2), 0)</f>
        <v>62.5</v>
      </c>
      <c r="P50" s="35">
        <f>I50</f>
        <v>7494</v>
      </c>
    </row>
    <row r="51" spans="1:22" ht="69.75" x14ac:dyDescent="0.2">
      <c r="A51" s="26" t="str">
        <f>Source!E29</f>
        <v>5</v>
      </c>
      <c r="B51" s="27" t="str">
        <f>Source!F29</f>
        <v>1.49-9201-1-3/1</v>
      </c>
      <c r="C51" s="27" t="s">
        <v>212</v>
      </c>
      <c r="D51" s="30" t="str">
        <f>Source!H29</f>
        <v>т</v>
      </c>
      <c r="E51" s="29">
        <f>Source!I29</f>
        <v>119.904</v>
      </c>
      <c r="F51" s="32"/>
      <c r="G51" s="31"/>
      <c r="H51" s="29"/>
      <c r="I51" s="29"/>
      <c r="J51" s="33"/>
      <c r="K51" s="33"/>
      <c r="Q51">
        <f>ROUND((Source!BZ29/100)*ROUND((Source!AF29*Source!AV29)*Source!I29, 2), 2)</f>
        <v>0</v>
      </c>
      <c r="R51">
        <f>Source!X29</f>
        <v>0</v>
      </c>
      <c r="S51">
        <f>ROUND((Source!CA29/100)*ROUND((Source!AF29*Source!AV29)*Source!I29, 2), 2)</f>
        <v>0</v>
      </c>
      <c r="T51">
        <f>Source!Y29</f>
        <v>0</v>
      </c>
      <c r="U51">
        <f>ROUND((175/100)*ROUND((Source!AE29*Source!AV29)*Source!I29, 2), 2)</f>
        <v>95691.79</v>
      </c>
      <c r="V51">
        <f>ROUND((78/100)*ROUND(Source!CS29*Source!I29, 2), 2)</f>
        <v>42651.199999999997</v>
      </c>
    </row>
    <row r="52" spans="1:22" ht="14.25" x14ac:dyDescent="0.2">
      <c r="A52" s="26"/>
      <c r="B52" s="27"/>
      <c r="C52" s="27" t="s">
        <v>209</v>
      </c>
      <c r="D52" s="30"/>
      <c r="E52" s="29"/>
      <c r="F52" s="32">
        <f>Source!AM29</f>
        <v>29.58</v>
      </c>
      <c r="G52" s="31" t="str">
        <f>Source!DE29</f>
        <v>)*26</v>
      </c>
      <c r="H52" s="29">
        <f>Source!AV29</f>
        <v>1</v>
      </c>
      <c r="I52" s="29">
        <f>IF(Source!BB29&lt;&gt; 0, Source!BB29, 1)</f>
        <v>1</v>
      </c>
      <c r="J52" s="33">
        <f>Source!Q29</f>
        <v>92215.77</v>
      </c>
      <c r="K52" s="33"/>
    </row>
    <row r="53" spans="1:22" ht="14.25" x14ac:dyDescent="0.2">
      <c r="A53" s="26"/>
      <c r="B53" s="27"/>
      <c r="C53" s="27" t="s">
        <v>210</v>
      </c>
      <c r="D53" s="30"/>
      <c r="E53" s="29"/>
      <c r="F53" s="32">
        <f>Source!AN29</f>
        <v>17.54</v>
      </c>
      <c r="G53" s="31" t="str">
        <f>Source!DF29</f>
        <v>)*26</v>
      </c>
      <c r="H53" s="29">
        <f>Source!AV29</f>
        <v>1</v>
      </c>
      <c r="I53" s="29">
        <f>IF(Source!BS29&lt;&gt; 0, Source!BS29, 1)</f>
        <v>1</v>
      </c>
      <c r="J53" s="42">
        <f>Source!R29</f>
        <v>54681.02</v>
      </c>
      <c r="K53" s="33"/>
    </row>
    <row r="54" spans="1:22" ht="15" x14ac:dyDescent="0.25">
      <c r="A54" s="39"/>
      <c r="B54" s="39"/>
      <c r="C54" s="39"/>
      <c r="D54" s="39"/>
      <c r="E54" s="39"/>
      <c r="F54" s="39"/>
      <c r="G54" s="39"/>
      <c r="H54" s="39"/>
      <c r="I54" s="40">
        <f>J52</f>
        <v>92215.77</v>
      </c>
      <c r="J54" s="40"/>
      <c r="K54" s="41">
        <f>IF(Source!I29&lt;&gt;0, ROUND(I54/Source!I29, 2), 0)</f>
        <v>769.08</v>
      </c>
      <c r="P54" s="35">
        <f>I54</f>
        <v>92215.77</v>
      </c>
    </row>
    <row r="55" spans="1:22" ht="99.75" x14ac:dyDescent="0.2">
      <c r="A55" s="26" t="str">
        <f>Source!E30</f>
        <v>6</v>
      </c>
      <c r="B55" s="27" t="str">
        <f>Source!F30</f>
        <v>21.25-0-5</v>
      </c>
      <c r="C55" s="27" t="str">
        <f>Source!G30</f>
        <v>Стоимость приемки отходов строительства и сноса (боя кирпичной кладки, бетонных и железобетонных изделий, отходов бетона и железобетона, асфальтобетона в кусковой форме) для переработки дробильными комплексами</v>
      </c>
      <c r="D55" s="30" t="str">
        <f>Source!H30</f>
        <v>т</v>
      </c>
      <c r="E55" s="29">
        <f>Source!I30</f>
        <v>119.904</v>
      </c>
      <c r="F55" s="32">
        <f>Source!AL30</f>
        <v>150.61000000000001</v>
      </c>
      <c r="G55" s="31" t="str">
        <f>Source!DD30</f>
        <v/>
      </c>
      <c r="H55" s="29">
        <f>Source!AW30</f>
        <v>1</v>
      </c>
      <c r="I55" s="29">
        <f>IF(Source!BC30&lt;&gt; 0, Source!BC30, 1)</f>
        <v>1</v>
      </c>
      <c r="J55" s="33">
        <f>Source!P30</f>
        <v>18058.740000000002</v>
      </c>
      <c r="K55" s="33"/>
      <c r="Q55">
        <f>ROUND((Source!BZ30/100)*ROUND((Source!AF30*Source!AV30)*Source!I30, 2), 2)</f>
        <v>0</v>
      </c>
      <c r="R55">
        <f>Source!X30</f>
        <v>0</v>
      </c>
      <c r="S55">
        <f>ROUND((Source!CA30/100)*ROUND((Source!AF30*Source!AV30)*Source!I30, 2), 2)</f>
        <v>0</v>
      </c>
      <c r="T55">
        <f>Source!Y30</f>
        <v>0</v>
      </c>
      <c r="U55">
        <f>ROUND((175/100)*ROUND((Source!AE30*Source!AV30)*Source!I30, 2), 2)</f>
        <v>0</v>
      </c>
      <c r="V55">
        <f>ROUND((78/100)*ROUND(Source!CS30*Source!I30, 2), 2)</f>
        <v>0</v>
      </c>
    </row>
    <row r="56" spans="1:22" ht="15" x14ac:dyDescent="0.25">
      <c r="A56" s="39"/>
      <c r="B56" s="39"/>
      <c r="C56" s="39"/>
      <c r="D56" s="39"/>
      <c r="E56" s="39"/>
      <c r="F56" s="39"/>
      <c r="G56" s="39"/>
      <c r="H56" s="39"/>
      <c r="I56" s="40">
        <f>J55</f>
        <v>18058.740000000002</v>
      </c>
      <c r="J56" s="40"/>
      <c r="K56" s="41">
        <f>IF(Source!I30&lt;&gt;0, ROUND(I56/Source!I30, 2), 0)</f>
        <v>150.61000000000001</v>
      </c>
      <c r="P56" s="35">
        <f>I56</f>
        <v>18058.740000000002</v>
      </c>
    </row>
    <row r="57" spans="1:22" ht="42.75" x14ac:dyDescent="0.2">
      <c r="A57" s="26" t="str">
        <f>Source!E31</f>
        <v>7</v>
      </c>
      <c r="B57" s="27" t="str">
        <f>Source!F31</f>
        <v>2.1-3105-10-1/1</v>
      </c>
      <c r="C57" s="27" t="str">
        <f>Source!G31</f>
        <v>Устройство водоотводных лотков из сборного бетона на тротуарах при покрытиях бетонной плиткой</v>
      </c>
      <c r="D57" s="30" t="str">
        <f>Source!H31</f>
        <v>100 м</v>
      </c>
      <c r="E57" s="29">
        <f>Source!I31</f>
        <v>0.8</v>
      </c>
      <c r="F57" s="32"/>
      <c r="G57" s="31"/>
      <c r="H57" s="29"/>
      <c r="I57" s="29"/>
      <c r="J57" s="33"/>
      <c r="K57" s="33"/>
      <c r="Q57">
        <f>ROUND((Source!BZ31/100)*ROUND((Source!AF31*Source!AV31)*Source!I31, 2), 2)</f>
        <v>3185.99</v>
      </c>
      <c r="R57">
        <f>Source!X31</f>
        <v>3185.99</v>
      </c>
      <c r="S57">
        <f>ROUND((Source!CA31/100)*ROUND((Source!AF31*Source!AV31)*Source!I31, 2), 2)</f>
        <v>0</v>
      </c>
      <c r="T57">
        <f>Source!Y31</f>
        <v>0</v>
      </c>
      <c r="U57">
        <f>ROUND((175/100)*ROUND((Source!AE31*Source!AV31)*Source!I31, 2), 2)</f>
        <v>425.41</v>
      </c>
      <c r="V57">
        <f>ROUND((78/100)*ROUND(Source!CS31*Source!I31, 2), 2)</f>
        <v>189.61</v>
      </c>
    </row>
    <row r="58" spans="1:22" x14ac:dyDescent="0.2">
      <c r="C58" s="34" t="str">
        <f>"Объем: "&amp;Source!I31&amp;"=(80)/"&amp;"100"</f>
        <v>Объем: 0,8=(80)/100</v>
      </c>
    </row>
    <row r="59" spans="1:22" ht="14.25" x14ac:dyDescent="0.2">
      <c r="A59" s="26"/>
      <c r="B59" s="27"/>
      <c r="C59" s="27" t="s">
        <v>204</v>
      </c>
      <c r="D59" s="30"/>
      <c r="E59" s="29"/>
      <c r="F59" s="32">
        <f>Source!AO31</f>
        <v>5689.27</v>
      </c>
      <c r="G59" s="31" t="str">
        <f>Source!DG31</f>
        <v/>
      </c>
      <c r="H59" s="29">
        <f>Source!AV31</f>
        <v>1</v>
      </c>
      <c r="I59" s="29">
        <f>IF(Source!BA31&lt;&gt; 0, Source!BA31, 1)</f>
        <v>1</v>
      </c>
      <c r="J59" s="33">
        <f>Source!S31</f>
        <v>4551.42</v>
      </c>
      <c r="K59" s="33"/>
    </row>
    <row r="60" spans="1:22" ht="14.25" x14ac:dyDescent="0.2">
      <c r="A60" s="26"/>
      <c r="B60" s="27"/>
      <c r="C60" s="27" t="s">
        <v>209</v>
      </c>
      <c r="D60" s="30"/>
      <c r="E60" s="29"/>
      <c r="F60" s="32">
        <f>Source!AM31</f>
        <v>569.33000000000004</v>
      </c>
      <c r="G60" s="31" t="str">
        <f>Source!DE31</f>
        <v/>
      </c>
      <c r="H60" s="29">
        <f>Source!AV31</f>
        <v>1</v>
      </c>
      <c r="I60" s="29">
        <f>IF(Source!BB31&lt;&gt; 0, Source!BB31, 1)</f>
        <v>1</v>
      </c>
      <c r="J60" s="33">
        <f>Source!Q31</f>
        <v>455.46</v>
      </c>
      <c r="K60" s="33"/>
    </row>
    <row r="61" spans="1:22" ht="14.25" x14ac:dyDescent="0.2">
      <c r="A61" s="26"/>
      <c r="B61" s="27"/>
      <c r="C61" s="27" t="s">
        <v>210</v>
      </c>
      <c r="D61" s="30"/>
      <c r="E61" s="29"/>
      <c r="F61" s="32">
        <f>Source!AN31</f>
        <v>303.86</v>
      </c>
      <c r="G61" s="31" t="str">
        <f>Source!DF31</f>
        <v/>
      </c>
      <c r="H61" s="29">
        <f>Source!AV31</f>
        <v>1</v>
      </c>
      <c r="I61" s="29">
        <f>IF(Source!BS31&lt;&gt; 0, Source!BS31, 1)</f>
        <v>1</v>
      </c>
      <c r="J61" s="42">
        <f>Source!R31</f>
        <v>243.09</v>
      </c>
      <c r="K61" s="33"/>
    </row>
    <row r="62" spans="1:22" ht="14.25" x14ac:dyDescent="0.2">
      <c r="A62" s="26"/>
      <c r="B62" s="27"/>
      <c r="C62" s="27" t="s">
        <v>213</v>
      </c>
      <c r="D62" s="30"/>
      <c r="E62" s="29"/>
      <c r="F62" s="32">
        <f>Source!AL31</f>
        <v>539190.62</v>
      </c>
      <c r="G62" s="31" t="str">
        <f>Source!DD31</f>
        <v/>
      </c>
      <c r="H62" s="29">
        <f>Source!AW31</f>
        <v>1</v>
      </c>
      <c r="I62" s="29">
        <f>IF(Source!BC31&lt;&gt; 0, Source!BC31, 1)</f>
        <v>1</v>
      </c>
      <c r="J62" s="33">
        <f>Source!P31</f>
        <v>431352.5</v>
      </c>
      <c r="K62" s="33"/>
    </row>
    <row r="63" spans="1:22" ht="14.25" x14ac:dyDescent="0.2">
      <c r="A63" s="26"/>
      <c r="B63" s="27"/>
      <c r="C63" s="27" t="s">
        <v>205</v>
      </c>
      <c r="D63" s="30" t="s">
        <v>206</v>
      </c>
      <c r="E63" s="29">
        <f>Source!AT31</f>
        <v>70</v>
      </c>
      <c r="F63" s="32"/>
      <c r="G63" s="31"/>
      <c r="H63" s="29"/>
      <c r="I63" s="29"/>
      <c r="J63" s="33">
        <f>SUM(R57:R62)</f>
        <v>3185.99</v>
      </c>
      <c r="K63" s="33"/>
    </row>
    <row r="64" spans="1:22" ht="14.25" x14ac:dyDescent="0.2">
      <c r="A64" s="26"/>
      <c r="B64" s="27"/>
      <c r="C64" s="27" t="s">
        <v>211</v>
      </c>
      <c r="D64" s="30" t="s">
        <v>206</v>
      </c>
      <c r="E64" s="29">
        <f>78</f>
        <v>78</v>
      </c>
      <c r="F64" s="32"/>
      <c r="G64" s="31"/>
      <c r="H64" s="29"/>
      <c r="I64" s="29"/>
      <c r="J64" s="33">
        <f>SUM(V57:V63)</f>
        <v>189.61</v>
      </c>
      <c r="K64" s="33"/>
    </row>
    <row r="65" spans="1:22" ht="14.25" x14ac:dyDescent="0.2">
      <c r="A65" s="26"/>
      <c r="B65" s="27"/>
      <c r="C65" s="27" t="s">
        <v>207</v>
      </c>
      <c r="D65" s="30" t="s">
        <v>208</v>
      </c>
      <c r="E65" s="29">
        <f>Source!AQ31</f>
        <v>25.98</v>
      </c>
      <c r="F65" s="32"/>
      <c r="G65" s="31" t="str">
        <f>Source!DI31</f>
        <v/>
      </c>
      <c r="H65" s="29">
        <f>Source!AV31</f>
        <v>1</v>
      </c>
      <c r="I65" s="29"/>
      <c r="J65" s="33"/>
      <c r="K65" s="33">
        <f>Source!U31</f>
        <v>20.784000000000002</v>
      </c>
    </row>
    <row r="66" spans="1:22" ht="15" x14ac:dyDescent="0.25">
      <c r="A66" s="39"/>
      <c r="B66" s="39"/>
      <c r="C66" s="39"/>
      <c r="D66" s="39"/>
      <c r="E66" s="39"/>
      <c r="F66" s="39"/>
      <c r="G66" s="39"/>
      <c r="H66" s="39"/>
      <c r="I66" s="40">
        <f>J59+J60+J62+J63+J64</f>
        <v>439734.98</v>
      </c>
      <c r="J66" s="40"/>
      <c r="K66" s="41">
        <f>IF(Source!I31&lt;&gt;0, ROUND(I66/Source!I31, 2), 0)</f>
        <v>549668.73</v>
      </c>
      <c r="P66" s="35">
        <f>I66</f>
        <v>439734.98</v>
      </c>
    </row>
    <row r="67" spans="1:22" ht="57" x14ac:dyDescent="0.2">
      <c r="A67" s="26" t="str">
        <f>Source!E32</f>
        <v>8</v>
      </c>
      <c r="B67" s="27" t="str">
        <f>Source!F32</f>
        <v>1.2-3103-30-7/1</v>
      </c>
      <c r="C67" s="27" t="str">
        <f>Source!G32</f>
        <v>Гидроизоляция стен, фундаментов боковая обмазочная битумная в 2 слоя по выровненной поверхности бутовой кладки, кирпичу, бетону</v>
      </c>
      <c r="D67" s="30" t="str">
        <f>Source!H32</f>
        <v>100 м2</v>
      </c>
      <c r="E67" s="29">
        <f>Source!I32</f>
        <v>7</v>
      </c>
      <c r="F67" s="32"/>
      <c r="G67" s="31"/>
      <c r="H67" s="29"/>
      <c r="I67" s="29"/>
      <c r="J67" s="33"/>
      <c r="K67" s="33"/>
      <c r="Q67">
        <f>ROUND((Source!BZ32/100)*ROUND((Source!AF32*Source!AV32)*Source!I32, 2), 2)</f>
        <v>50627.24</v>
      </c>
      <c r="R67">
        <f>Source!X32</f>
        <v>50627.24</v>
      </c>
      <c r="S67">
        <f>ROUND((Source!CA32/100)*ROUND((Source!AF32*Source!AV32)*Source!I32, 2), 2)</f>
        <v>0</v>
      </c>
      <c r="T67">
        <f>Source!Y32</f>
        <v>0</v>
      </c>
      <c r="U67">
        <f>ROUND((175/100)*ROUND((Source!AE32*Source!AV32)*Source!I32, 2), 2)</f>
        <v>0</v>
      </c>
      <c r="V67">
        <f>ROUND((78/100)*ROUND(Source!CS32*Source!I32, 2), 2)</f>
        <v>0</v>
      </c>
    </row>
    <row r="68" spans="1:22" x14ac:dyDescent="0.2">
      <c r="C68" s="34" t="str">
        <f>"Объем: "&amp;Source!I32&amp;"=700/"&amp;"100"</f>
        <v>Объем: 7=700/100</v>
      </c>
    </row>
    <row r="69" spans="1:22" ht="14.25" x14ac:dyDescent="0.2">
      <c r="A69" s="26"/>
      <c r="B69" s="27"/>
      <c r="C69" s="27" t="s">
        <v>204</v>
      </c>
      <c r="D69" s="30"/>
      <c r="E69" s="29"/>
      <c r="F69" s="32">
        <f>Source!AO32</f>
        <v>10332.09</v>
      </c>
      <c r="G69" s="31" t="str">
        <f>Source!DG32</f>
        <v/>
      </c>
      <c r="H69" s="29">
        <f>Source!AV32</f>
        <v>1</v>
      </c>
      <c r="I69" s="29">
        <f>IF(Source!BA32&lt;&gt; 0, Source!BA32, 1)</f>
        <v>1</v>
      </c>
      <c r="J69" s="33">
        <f>Source!S32</f>
        <v>72324.63</v>
      </c>
      <c r="K69" s="33"/>
    </row>
    <row r="70" spans="1:22" ht="14.25" x14ac:dyDescent="0.2">
      <c r="A70" s="26"/>
      <c r="B70" s="27"/>
      <c r="C70" s="27" t="s">
        <v>213</v>
      </c>
      <c r="D70" s="30"/>
      <c r="E70" s="29"/>
      <c r="F70" s="32">
        <f>Source!AL32</f>
        <v>31711.759999999998</v>
      </c>
      <c r="G70" s="31" t="str">
        <f>Source!DD32</f>
        <v/>
      </c>
      <c r="H70" s="29">
        <f>Source!AW32</f>
        <v>1</v>
      </c>
      <c r="I70" s="29">
        <f>IF(Source!BC32&lt;&gt; 0, Source!BC32, 1)</f>
        <v>1</v>
      </c>
      <c r="J70" s="33">
        <f>Source!P32</f>
        <v>221982.32</v>
      </c>
      <c r="K70" s="33"/>
    </row>
    <row r="71" spans="1:22" ht="14.25" x14ac:dyDescent="0.2">
      <c r="A71" s="26"/>
      <c r="B71" s="27"/>
      <c r="C71" s="27" t="s">
        <v>205</v>
      </c>
      <c r="D71" s="30" t="s">
        <v>206</v>
      </c>
      <c r="E71" s="29">
        <f>Source!AT32</f>
        <v>70</v>
      </c>
      <c r="F71" s="32"/>
      <c r="G71" s="31"/>
      <c r="H71" s="29"/>
      <c r="I71" s="29"/>
      <c r="J71" s="33">
        <f>SUM(R67:R70)</f>
        <v>50627.24</v>
      </c>
      <c r="K71" s="33"/>
    </row>
    <row r="72" spans="1:22" ht="14.25" x14ac:dyDescent="0.2">
      <c r="A72" s="26"/>
      <c r="B72" s="27"/>
      <c r="C72" s="27" t="s">
        <v>207</v>
      </c>
      <c r="D72" s="30" t="s">
        <v>208</v>
      </c>
      <c r="E72" s="29">
        <f>Source!AQ32</f>
        <v>44.85</v>
      </c>
      <c r="F72" s="32"/>
      <c r="G72" s="31" t="str">
        <f>Source!DI32</f>
        <v/>
      </c>
      <c r="H72" s="29">
        <f>Source!AV32</f>
        <v>1</v>
      </c>
      <c r="I72" s="29"/>
      <c r="J72" s="33"/>
      <c r="K72" s="33">
        <f>Source!U32</f>
        <v>313.95</v>
      </c>
    </row>
    <row r="73" spans="1:22" ht="15" x14ac:dyDescent="0.25">
      <c r="A73" s="39"/>
      <c r="B73" s="39"/>
      <c r="C73" s="39"/>
      <c r="D73" s="39"/>
      <c r="E73" s="39"/>
      <c r="F73" s="39"/>
      <c r="G73" s="39"/>
      <c r="H73" s="39"/>
      <c r="I73" s="40">
        <f>J69+J70+J71</f>
        <v>344934.19</v>
      </c>
      <c r="J73" s="40"/>
      <c r="K73" s="41">
        <f>IF(Source!I32&lt;&gt;0, ROUND(I73/Source!I32, 2), 0)</f>
        <v>49276.31</v>
      </c>
      <c r="P73" s="35">
        <f>I73</f>
        <v>344934.19</v>
      </c>
    </row>
    <row r="74" spans="1:22" ht="57" x14ac:dyDescent="0.2">
      <c r="A74" s="26" t="str">
        <f>Source!E33</f>
        <v>9</v>
      </c>
      <c r="B74" s="27" t="str">
        <f>Source!F33</f>
        <v>1.2-3103-30-5/1</v>
      </c>
      <c r="C74" s="27" t="str">
        <f>Source!G33</f>
        <v>Гидроизоляция стен, фундаментов боковая оклеечная по выровненной поверхности бутовой кладки, кирпичу и бетону в 2 слоя</v>
      </c>
      <c r="D74" s="30" t="str">
        <f>Source!H33</f>
        <v>100 м2</v>
      </c>
      <c r="E74" s="29">
        <f>Source!I33</f>
        <v>2</v>
      </c>
      <c r="F74" s="32"/>
      <c r="G74" s="31"/>
      <c r="H74" s="29"/>
      <c r="I74" s="29"/>
      <c r="J74" s="33"/>
      <c r="K74" s="33"/>
      <c r="Q74">
        <f>ROUND((Source!BZ33/100)*ROUND((Source!AF33*Source!AV33)*Source!I33, 2), 2)</f>
        <v>21141.05</v>
      </c>
      <c r="R74">
        <f>Source!X33</f>
        <v>21141.05</v>
      </c>
      <c r="S74">
        <f>ROUND((Source!CA33/100)*ROUND((Source!AF33*Source!AV33)*Source!I33, 2), 2)</f>
        <v>0</v>
      </c>
      <c r="T74">
        <f>Source!Y33</f>
        <v>0</v>
      </c>
      <c r="U74">
        <f>ROUND((175/100)*ROUND((Source!AE33*Source!AV33)*Source!I33, 2), 2)</f>
        <v>0</v>
      </c>
      <c r="V74">
        <f>ROUND((78/100)*ROUND(Source!CS33*Source!I33, 2), 2)</f>
        <v>0</v>
      </c>
    </row>
    <row r="75" spans="1:22" x14ac:dyDescent="0.2">
      <c r="C75" s="34" t="str">
        <f>"Объем: "&amp;Source!I33&amp;"=200/"&amp;"100"</f>
        <v>Объем: 2=200/100</v>
      </c>
    </row>
    <row r="76" spans="1:22" ht="14.25" x14ac:dyDescent="0.2">
      <c r="A76" s="26"/>
      <c r="B76" s="27"/>
      <c r="C76" s="27" t="s">
        <v>204</v>
      </c>
      <c r="D76" s="30"/>
      <c r="E76" s="29"/>
      <c r="F76" s="32">
        <f>Source!AO33</f>
        <v>15100.75</v>
      </c>
      <c r="G76" s="31" t="str">
        <f>Source!DG33</f>
        <v/>
      </c>
      <c r="H76" s="29">
        <f>Source!AV33</f>
        <v>1</v>
      </c>
      <c r="I76" s="29">
        <f>IF(Source!BA33&lt;&gt; 0, Source!BA33, 1)</f>
        <v>1</v>
      </c>
      <c r="J76" s="33">
        <f>Source!S33</f>
        <v>30201.5</v>
      </c>
      <c r="K76" s="33"/>
    </row>
    <row r="77" spans="1:22" ht="14.25" x14ac:dyDescent="0.2">
      <c r="A77" s="26"/>
      <c r="B77" s="27"/>
      <c r="C77" s="27" t="s">
        <v>213</v>
      </c>
      <c r="D77" s="30"/>
      <c r="E77" s="29"/>
      <c r="F77" s="32">
        <f>Source!AL33</f>
        <v>72812.710000000006</v>
      </c>
      <c r="G77" s="31" t="str">
        <f>Source!DD33</f>
        <v/>
      </c>
      <c r="H77" s="29">
        <f>Source!AW33</f>
        <v>1</v>
      </c>
      <c r="I77" s="29">
        <f>IF(Source!BC33&lt;&gt; 0, Source!BC33, 1)</f>
        <v>1</v>
      </c>
      <c r="J77" s="33">
        <f>Source!P33</f>
        <v>145625.42000000001</v>
      </c>
      <c r="K77" s="33"/>
    </row>
    <row r="78" spans="1:22" ht="14.25" x14ac:dyDescent="0.2">
      <c r="A78" s="26"/>
      <c r="B78" s="27"/>
      <c r="C78" s="27" t="s">
        <v>205</v>
      </c>
      <c r="D78" s="30" t="s">
        <v>206</v>
      </c>
      <c r="E78" s="29">
        <f>Source!AT33</f>
        <v>70</v>
      </c>
      <c r="F78" s="32"/>
      <c r="G78" s="31"/>
      <c r="H78" s="29"/>
      <c r="I78" s="29"/>
      <c r="J78" s="33">
        <f>SUM(R74:R77)</f>
        <v>21141.05</v>
      </c>
      <c r="K78" s="33"/>
    </row>
    <row r="79" spans="1:22" ht="14.25" x14ac:dyDescent="0.2">
      <c r="A79" s="26"/>
      <c r="B79" s="27"/>
      <c r="C79" s="27" t="s">
        <v>207</v>
      </c>
      <c r="D79" s="30" t="s">
        <v>208</v>
      </c>
      <c r="E79" s="29">
        <f>Source!AQ33</f>
        <v>65.55</v>
      </c>
      <c r="F79" s="32"/>
      <c r="G79" s="31" t="str">
        <f>Source!DI33</f>
        <v/>
      </c>
      <c r="H79" s="29">
        <f>Source!AV33</f>
        <v>1</v>
      </c>
      <c r="I79" s="29"/>
      <c r="J79" s="33"/>
      <c r="K79" s="33">
        <f>Source!U33</f>
        <v>131.1</v>
      </c>
    </row>
    <row r="80" spans="1:22" ht="15" x14ac:dyDescent="0.25">
      <c r="A80" s="39"/>
      <c r="B80" s="39"/>
      <c r="C80" s="39"/>
      <c r="D80" s="39"/>
      <c r="E80" s="39"/>
      <c r="F80" s="39"/>
      <c r="G80" s="39"/>
      <c r="H80" s="39"/>
      <c r="I80" s="40">
        <f>J76+J77+J78</f>
        <v>196967.97</v>
      </c>
      <c r="J80" s="40"/>
      <c r="K80" s="41">
        <f>IF(Source!I33&lt;&gt;0, ROUND(I80/Source!I33, 2), 0)</f>
        <v>98483.99</v>
      </c>
      <c r="P80" s="35">
        <f>I80</f>
        <v>196967.97</v>
      </c>
    </row>
    <row r="81" spans="1:32" ht="71.25" x14ac:dyDescent="0.2">
      <c r="A81" s="26" t="str">
        <f>Source!E34</f>
        <v>10</v>
      </c>
      <c r="B81" s="27" t="str">
        <f>Source!F34</f>
        <v>2.1-3103-15-1/1</v>
      </c>
      <c r="C81" s="27" t="str">
        <f>Source!G34</f>
        <v>Устройство покрытий из гранитных малоразмерных плит на цементно-песчаной подушке толщиной 50 мм, смесь марки М150 (без стоимости гранитных плит)</v>
      </c>
      <c r="D81" s="30" t="str">
        <f>Source!H34</f>
        <v>100 м2</v>
      </c>
      <c r="E81" s="29">
        <f>Source!I34</f>
        <v>8.36</v>
      </c>
      <c r="F81" s="32"/>
      <c r="G81" s="31"/>
      <c r="H81" s="29"/>
      <c r="I81" s="29"/>
      <c r="J81" s="33"/>
      <c r="K81" s="33"/>
      <c r="Q81">
        <f>ROUND((Source!BZ34/100)*ROUND((Source!AF34*Source!AV34)*Source!I34, 2), 2)</f>
        <v>620393.4</v>
      </c>
      <c r="R81">
        <f>Source!X34</f>
        <v>620393.4</v>
      </c>
      <c r="S81">
        <f>ROUND((Source!CA34/100)*ROUND((Source!AF34*Source!AV34)*Source!I34, 2), 2)</f>
        <v>0</v>
      </c>
      <c r="T81">
        <f>Source!Y34</f>
        <v>0</v>
      </c>
      <c r="U81">
        <f>ROUND((175/100)*ROUND((Source!AE34*Source!AV34)*Source!I34, 2), 2)</f>
        <v>17305.68</v>
      </c>
      <c r="V81">
        <f>ROUND((78/100)*ROUND(Source!CS34*Source!I34, 2), 2)</f>
        <v>7713.39</v>
      </c>
    </row>
    <row r="82" spans="1:32" x14ac:dyDescent="0.2">
      <c r="C82" s="34" t="str">
        <f>"Объем: "&amp;Source!I34&amp;"="&amp;Source!I24&amp;"/"&amp;"100"</f>
        <v>Объем: 8,36=836/100</v>
      </c>
    </row>
    <row r="83" spans="1:32" ht="14.25" x14ac:dyDescent="0.2">
      <c r="A83" s="26"/>
      <c r="B83" s="27"/>
      <c r="C83" s="27" t="s">
        <v>204</v>
      </c>
      <c r="D83" s="30"/>
      <c r="E83" s="29"/>
      <c r="F83" s="32">
        <f>Source!AO34</f>
        <v>106013.91</v>
      </c>
      <c r="G83" s="31" t="str">
        <f>Source!DG34</f>
        <v/>
      </c>
      <c r="H83" s="29">
        <f>Source!AV34</f>
        <v>1</v>
      </c>
      <c r="I83" s="29">
        <f>IF(Source!BA34&lt;&gt; 0, Source!BA34, 1)</f>
        <v>1</v>
      </c>
      <c r="J83" s="33">
        <f>Source!S34</f>
        <v>886276.29</v>
      </c>
      <c r="K83" s="33"/>
    </row>
    <row r="84" spans="1:32" ht="14.25" x14ac:dyDescent="0.2">
      <c r="A84" s="26"/>
      <c r="B84" s="27"/>
      <c r="C84" s="27" t="s">
        <v>209</v>
      </c>
      <c r="D84" s="30"/>
      <c r="E84" s="29"/>
      <c r="F84" s="32">
        <f>Source!AM34</f>
        <v>4071.88</v>
      </c>
      <c r="G84" s="31" t="str">
        <f>Source!DE34</f>
        <v/>
      </c>
      <c r="H84" s="29">
        <f>Source!AV34</f>
        <v>1</v>
      </c>
      <c r="I84" s="29">
        <f>IF(Source!BB34&lt;&gt; 0, Source!BB34, 1)</f>
        <v>1</v>
      </c>
      <c r="J84" s="33">
        <f>Source!Q34</f>
        <v>34040.92</v>
      </c>
      <c r="K84" s="33"/>
    </row>
    <row r="85" spans="1:32" ht="14.25" x14ac:dyDescent="0.2">
      <c r="A85" s="26"/>
      <c r="B85" s="27"/>
      <c r="C85" s="27" t="s">
        <v>210</v>
      </c>
      <c r="D85" s="30"/>
      <c r="E85" s="29"/>
      <c r="F85" s="32">
        <f>Source!AN34</f>
        <v>1182.8900000000001</v>
      </c>
      <c r="G85" s="31" t="str">
        <f>Source!DF34</f>
        <v/>
      </c>
      <c r="H85" s="29">
        <f>Source!AV34</f>
        <v>1</v>
      </c>
      <c r="I85" s="29">
        <f>IF(Source!BS34&lt;&gt; 0, Source!BS34, 1)</f>
        <v>1</v>
      </c>
      <c r="J85" s="42">
        <f>Source!R34</f>
        <v>9888.9599999999991</v>
      </c>
      <c r="K85" s="33"/>
    </row>
    <row r="86" spans="1:32" ht="14.25" x14ac:dyDescent="0.2">
      <c r="A86" s="26"/>
      <c r="B86" s="27"/>
      <c r="C86" s="27" t="s">
        <v>213</v>
      </c>
      <c r="D86" s="30"/>
      <c r="E86" s="29"/>
      <c r="F86" s="32">
        <f>Source!AL34</f>
        <v>31338.43</v>
      </c>
      <c r="G86" s="31" t="str">
        <f>Source!DD34</f>
        <v/>
      </c>
      <c r="H86" s="29">
        <f>Source!AW34</f>
        <v>1</v>
      </c>
      <c r="I86" s="29">
        <f>IF(Source!BC34&lt;&gt; 0, Source!BC34, 1)</f>
        <v>1</v>
      </c>
      <c r="J86" s="33">
        <f>Source!P34</f>
        <v>261989.27</v>
      </c>
      <c r="K86" s="33"/>
    </row>
    <row r="87" spans="1:32" ht="14.25" x14ac:dyDescent="0.2">
      <c r="A87" s="26"/>
      <c r="B87" s="27"/>
      <c r="C87" s="27" t="s">
        <v>205</v>
      </c>
      <c r="D87" s="30" t="s">
        <v>206</v>
      </c>
      <c r="E87" s="29">
        <f>Source!AT34</f>
        <v>70</v>
      </c>
      <c r="F87" s="32"/>
      <c r="G87" s="31"/>
      <c r="H87" s="29"/>
      <c r="I87" s="29"/>
      <c r="J87" s="33">
        <f>SUM(R81:R86)</f>
        <v>620393.4</v>
      </c>
      <c r="K87" s="33"/>
    </row>
    <row r="88" spans="1:32" ht="14.25" x14ac:dyDescent="0.2">
      <c r="A88" s="26"/>
      <c r="B88" s="27"/>
      <c r="C88" s="27" t="s">
        <v>211</v>
      </c>
      <c r="D88" s="30" t="s">
        <v>206</v>
      </c>
      <c r="E88" s="29">
        <f>78</f>
        <v>78</v>
      </c>
      <c r="F88" s="32"/>
      <c r="G88" s="31"/>
      <c r="H88" s="29"/>
      <c r="I88" s="29"/>
      <c r="J88" s="33">
        <f>SUM(V81:V87)</f>
        <v>7713.39</v>
      </c>
      <c r="K88" s="33"/>
    </row>
    <row r="89" spans="1:32" ht="14.25" x14ac:dyDescent="0.2">
      <c r="A89" s="26"/>
      <c r="B89" s="27"/>
      <c r="C89" s="27" t="s">
        <v>207</v>
      </c>
      <c r="D89" s="30" t="s">
        <v>208</v>
      </c>
      <c r="E89" s="29">
        <f>Source!AQ34</f>
        <v>451.95</v>
      </c>
      <c r="F89" s="32"/>
      <c r="G89" s="31" t="str">
        <f>Source!DI34</f>
        <v/>
      </c>
      <c r="H89" s="29">
        <f>Source!AV34</f>
        <v>1</v>
      </c>
      <c r="I89" s="29"/>
      <c r="J89" s="33"/>
      <c r="K89" s="33">
        <f>Source!U34</f>
        <v>3778.3019999999997</v>
      </c>
    </row>
    <row r="90" spans="1:32" ht="15" x14ac:dyDescent="0.25">
      <c r="A90" s="39"/>
      <c r="B90" s="39"/>
      <c r="C90" s="39"/>
      <c r="D90" s="39"/>
      <c r="E90" s="39"/>
      <c r="F90" s="39"/>
      <c r="G90" s="39"/>
      <c r="H90" s="39"/>
      <c r="I90" s="40">
        <f>J83+J84+J86+J87+J88</f>
        <v>1810413.2699999998</v>
      </c>
      <c r="J90" s="40"/>
      <c r="K90" s="41">
        <f>IF(Source!I34&lt;&gt;0, ROUND(I90/Source!I34, 2), 0)</f>
        <v>216556.61</v>
      </c>
      <c r="P90" s="35">
        <f>I90</f>
        <v>1810413.2699999998</v>
      </c>
    </row>
    <row r="92" spans="1:32" ht="15" x14ac:dyDescent="0.25">
      <c r="A92" s="45" t="str">
        <f>CONCATENATE("Итого по локальной смете: ",IF(Source!G36&lt;&gt;"Новая локальная смета", Source!G36, ""))</f>
        <v xml:space="preserve">Итого по локальной смете: </v>
      </c>
      <c r="B92" s="45"/>
      <c r="C92" s="45"/>
      <c r="D92" s="45"/>
      <c r="E92" s="45"/>
      <c r="F92" s="45"/>
      <c r="G92" s="45"/>
      <c r="H92" s="45"/>
      <c r="I92" s="37">
        <f>SUM(P25:P91)</f>
        <v>2981471.21</v>
      </c>
      <c r="J92" s="44"/>
      <c r="K92" s="43"/>
    </row>
    <row r="95" spans="1:32" ht="30" x14ac:dyDescent="0.25">
      <c r="A95" s="45" t="str">
        <f>CONCATENATE("Итого по смете: ",IF(Source!G66&lt;&gt;"Новый объект", Source!G66, ""))</f>
        <v>Итого по смете: Изменение вертикальных отметок и устройство гидроизоляции по адресу: Краснохолмская наб., д.1_15</v>
      </c>
      <c r="B95" s="45"/>
      <c r="C95" s="45"/>
      <c r="D95" s="45"/>
      <c r="E95" s="45"/>
      <c r="F95" s="45"/>
      <c r="G95" s="45"/>
      <c r="H95" s="45"/>
      <c r="I95" s="37">
        <f>SUM(P1:P94)</f>
        <v>2981471.21</v>
      </c>
      <c r="J95" s="44"/>
      <c r="K95" s="43"/>
      <c r="AF95" s="46" t="str">
        <f>CONCATENATE("Итого по смете: ",IF(Source!G66&lt;&gt;"Новый объект", Source!G66, ""))</f>
        <v>Итого по смете: Изменение вертикальных отметок и устройство гидроизоляции по адресу: Краснохолмская наб., д.1_15</v>
      </c>
    </row>
    <row r="96" spans="1:32" ht="14.25" x14ac:dyDescent="0.2">
      <c r="C96" s="16" t="str">
        <f>Source!H95</f>
        <v>Итого без СП</v>
      </c>
      <c r="D96" s="16"/>
      <c r="E96" s="16"/>
      <c r="F96" s="16"/>
      <c r="G96" s="16"/>
      <c r="H96" s="16"/>
      <c r="I96" s="36">
        <f>IF(Source!F95=0, "", Source!F95)</f>
        <v>2981471.21</v>
      </c>
      <c r="J96" s="36"/>
    </row>
    <row r="97" spans="3:10" ht="14.25" x14ac:dyDescent="0.2">
      <c r="C97" s="28" t="s">
        <v>271</v>
      </c>
      <c r="D97" s="28"/>
      <c r="E97" s="28"/>
      <c r="F97" s="28"/>
      <c r="G97" s="28"/>
      <c r="H97" s="28"/>
      <c r="I97" s="36">
        <f>IF(Source!F96=0, "", Source!F96)</f>
        <v>215801.65</v>
      </c>
      <c r="J97" s="36"/>
    </row>
    <row r="98" spans="3:10" ht="15" x14ac:dyDescent="0.25">
      <c r="C98" s="45" t="str">
        <f>Source!H97</f>
        <v>Всего</v>
      </c>
      <c r="D98" s="45"/>
      <c r="E98" s="45"/>
      <c r="F98" s="45"/>
      <c r="G98" s="45"/>
      <c r="H98" s="45"/>
      <c r="I98" s="37">
        <f>IF(Source!F97=0, "", Source!F97)</f>
        <v>3197272.86</v>
      </c>
      <c r="J98" s="37"/>
    </row>
  </sheetData>
  <mergeCells count="49">
    <mergeCell ref="C98:H98"/>
    <mergeCell ref="I98:J98"/>
    <mergeCell ref="I95:J95"/>
    <mergeCell ref="A95:H95"/>
    <mergeCell ref="C96:H96"/>
    <mergeCell ref="I96:J96"/>
    <mergeCell ref="I97:J97"/>
    <mergeCell ref="I66:J66"/>
    <mergeCell ref="I73:J73"/>
    <mergeCell ref="I80:J80"/>
    <mergeCell ref="I90:J90"/>
    <mergeCell ref="I92:J92"/>
    <mergeCell ref="A92:H92"/>
    <mergeCell ref="I31:J31"/>
    <mergeCell ref="I40:J40"/>
    <mergeCell ref="I46:J46"/>
    <mergeCell ref="I50:J50"/>
    <mergeCell ref="I54:J54"/>
    <mergeCell ref="I56:J56"/>
    <mergeCell ref="G20:G22"/>
    <mergeCell ref="H20:H22"/>
    <mergeCell ref="I20:I22"/>
    <mergeCell ref="J20:J22"/>
    <mergeCell ref="J2:K2"/>
    <mergeCell ref="A25:K25"/>
    <mergeCell ref="A20:A22"/>
    <mergeCell ref="B20:B22"/>
    <mergeCell ref="C20:C22"/>
    <mergeCell ref="D20:D22"/>
    <mergeCell ref="E20:E22"/>
    <mergeCell ref="F20:F22"/>
    <mergeCell ref="F16:H16"/>
    <mergeCell ref="I16:J16"/>
    <mergeCell ref="F17:H17"/>
    <mergeCell ref="I17:J17"/>
    <mergeCell ref="F18:H18"/>
    <mergeCell ref="I18:J18"/>
    <mergeCell ref="F13:H13"/>
    <mergeCell ref="I13:J13"/>
    <mergeCell ref="F14:H14"/>
    <mergeCell ref="I14:J14"/>
    <mergeCell ref="F15:H15"/>
    <mergeCell ref="I15:J15"/>
    <mergeCell ref="A3:K3"/>
    <mergeCell ref="A4:K4"/>
    <mergeCell ref="A6:K6"/>
    <mergeCell ref="A8:K8"/>
    <mergeCell ref="A9:K9"/>
    <mergeCell ref="A11:K11"/>
  </mergeCells>
  <pageMargins left="0.4" right="0.2" top="0.2" bottom="0.4" header="0.2" footer="0.2"/>
  <pageSetup paperSize="9" scale="65" fitToHeight="0" orientation="portrait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zoomScaleNormal="100" workbookViewId="0"/>
  </sheetViews>
  <sheetFormatPr defaultRowHeight="12.75" x14ac:dyDescent="0.2"/>
  <cols>
    <col min="1" max="1" width="6.7109375" customWidth="1"/>
    <col min="2" max="2" width="75.7109375" customWidth="1"/>
    <col min="3" max="5" width="15.7109375" customWidth="1"/>
    <col min="30" max="30" width="114.7109375" hidden="1" customWidth="1"/>
    <col min="31" max="31" width="0" hidden="1" customWidth="1"/>
  </cols>
  <sheetData>
    <row r="1" spans="1:30" x14ac:dyDescent="0.2">
      <c r="A1" s="8" t="str">
        <f>Source!B1</f>
        <v>Smeta.RU  (495) 974-1589</v>
      </c>
    </row>
    <row r="2" spans="1:30" ht="14.25" x14ac:dyDescent="0.2">
      <c r="B2" s="9"/>
      <c r="C2" s="9"/>
      <c r="D2" s="9"/>
    </row>
    <row r="3" spans="1:30" ht="15" x14ac:dyDescent="0.25">
      <c r="B3" s="47" t="s">
        <v>214</v>
      </c>
      <c r="C3" s="9"/>
      <c r="D3" s="38" t="s">
        <v>216</v>
      </c>
    </row>
    <row r="4" spans="1:30" ht="15" x14ac:dyDescent="0.25">
      <c r="B4" s="9"/>
      <c r="C4" s="38"/>
      <c r="D4" s="38"/>
    </row>
    <row r="5" spans="1:30" ht="15" x14ac:dyDescent="0.25">
      <c r="B5" s="47" t="s">
        <v>215</v>
      </c>
      <c r="C5" s="48" t="s">
        <v>215</v>
      </c>
      <c r="D5" s="48"/>
    </row>
    <row r="6" spans="1:30" ht="15" x14ac:dyDescent="0.25">
      <c r="B6" s="9"/>
      <c r="C6" s="49"/>
      <c r="D6" s="49"/>
    </row>
    <row r="7" spans="1:30" ht="15" x14ac:dyDescent="0.25">
      <c r="B7" s="47" t="s">
        <v>215</v>
      </c>
      <c r="C7" s="48" t="s">
        <v>215</v>
      </c>
      <c r="D7" s="48"/>
    </row>
    <row r="8" spans="1:30" ht="15" x14ac:dyDescent="0.25">
      <c r="B8" s="9"/>
      <c r="C8" s="49"/>
      <c r="D8" s="49"/>
    </row>
    <row r="9" spans="1:30" ht="15" x14ac:dyDescent="0.25">
      <c r="C9" s="38" t="s">
        <v>217</v>
      </c>
      <c r="D9" s="9"/>
    </row>
    <row r="10" spans="1:30" ht="14.25" x14ac:dyDescent="0.2">
      <c r="A10" s="9"/>
      <c r="B10" s="9"/>
      <c r="C10" s="9"/>
      <c r="D10" s="9"/>
      <c r="E10" s="9"/>
    </row>
    <row r="11" spans="1:30" ht="15.75" x14ac:dyDescent="0.25">
      <c r="A11" s="50" t="str">
        <f>CONCATENATE("Ведомость объемов работ ", IF(Source!AN15&lt;&gt;"", Source!AN15," "))</f>
        <v xml:space="preserve">Ведомость объемов работ  </v>
      </c>
      <c r="B11" s="50"/>
      <c r="C11" s="50"/>
      <c r="D11" s="50"/>
      <c r="E11" s="9"/>
    </row>
    <row r="12" spans="1:30" ht="30" x14ac:dyDescent="0.25">
      <c r="A12" s="51" t="str">
        <f>CONCATENATE("На капитальный ремонт ", Source!F12, " ", Source!G12)</f>
        <v>На капитальный ремонт 1 Изменение вертикальных отметок и устройство гидроизоляции по адресу: Краснохолмская наб., д.1_15</v>
      </c>
      <c r="B12" s="51"/>
      <c r="C12" s="51"/>
      <c r="D12" s="51"/>
      <c r="E12" s="9"/>
      <c r="AD12" s="53" t="str">
        <f>CONCATENATE("На капитальный ремонт ", Source!F12, " ", Source!G12)</f>
        <v>На капитальный ремонт 1 Изменение вертикальных отметок и устройство гидроизоляции по адресу: Краснохолмская наб., д.1_15</v>
      </c>
    </row>
    <row r="13" spans="1:30" ht="14.25" x14ac:dyDescent="0.2">
      <c r="A13" s="9"/>
      <c r="B13" s="9"/>
      <c r="C13" s="9"/>
      <c r="D13" s="9"/>
      <c r="E13" s="9"/>
    </row>
    <row r="14" spans="1:30" ht="28.5" x14ac:dyDescent="0.2">
      <c r="A14" s="24" t="s">
        <v>218</v>
      </c>
      <c r="B14" s="24" t="s">
        <v>191</v>
      </c>
      <c r="C14" s="24" t="s">
        <v>192</v>
      </c>
      <c r="D14" s="24" t="s">
        <v>219</v>
      </c>
      <c r="E14" s="52" t="s">
        <v>220</v>
      </c>
    </row>
    <row r="15" spans="1:30" ht="14.25" x14ac:dyDescent="0.2">
      <c r="A15" s="54">
        <v>1</v>
      </c>
      <c r="B15" s="54">
        <v>2</v>
      </c>
      <c r="C15" s="54">
        <v>3</v>
      </c>
      <c r="D15" s="54">
        <v>4</v>
      </c>
      <c r="E15" s="55">
        <v>5</v>
      </c>
    </row>
    <row r="16" spans="1:30" ht="16.5" x14ac:dyDescent="0.25">
      <c r="A16" s="56" t="str">
        <f>CONCATENATE("Локальная смета: ", Source!G20)</f>
        <v>Локальная смета: Новая локальная смета</v>
      </c>
      <c r="B16" s="56"/>
      <c r="C16" s="56"/>
      <c r="D16" s="56"/>
      <c r="E16" s="56"/>
    </row>
    <row r="17" spans="1:5" ht="14.25" x14ac:dyDescent="0.2">
      <c r="A17" s="61" t="str">
        <f>Source!E25</f>
        <v>1</v>
      </c>
      <c r="B17" s="62" t="str">
        <f>Source!G25</f>
        <v>Разборка тротуаров и дорожек из плит с отноской и укладкой в штабель</v>
      </c>
      <c r="C17" s="63" t="str">
        <f>Source!H25</f>
        <v>100 м2</v>
      </c>
      <c r="D17" s="64">
        <f>Source!I25</f>
        <v>8.36</v>
      </c>
      <c r="E17" s="62"/>
    </row>
    <row r="18" spans="1:5" ht="14.25" x14ac:dyDescent="0.2">
      <c r="A18" s="61" t="str">
        <f>Source!E26</f>
        <v>2</v>
      </c>
      <c r="B18" s="62" t="str">
        <f>Source!G26</f>
        <v>Разборка покрытий и оснований цементобетонных</v>
      </c>
      <c r="C18" s="63" t="str">
        <f>Source!H26</f>
        <v>100 м3</v>
      </c>
      <c r="D18" s="64">
        <f>Source!I26</f>
        <v>0.49959999999999999</v>
      </c>
      <c r="E18" s="62"/>
    </row>
    <row r="19" spans="1:5" ht="28.5" x14ac:dyDescent="0.2">
      <c r="A19" s="61" t="str">
        <f>Source!E27</f>
        <v>3</v>
      </c>
      <c r="B19" s="62" t="str">
        <f>Source!G27</f>
        <v>Механизированная погрузка строительного мусора в автомобили-самосвалы</v>
      </c>
      <c r="C19" s="63" t="str">
        <f>Source!H27</f>
        <v>т</v>
      </c>
      <c r="D19" s="64">
        <f>Source!I27</f>
        <v>119.904</v>
      </c>
      <c r="E19" s="62"/>
    </row>
    <row r="20" spans="1:5" ht="28.5" x14ac:dyDescent="0.2">
      <c r="A20" s="61" t="str">
        <f>Source!E28</f>
        <v>4</v>
      </c>
      <c r="B20" s="62" t="str">
        <f>Source!G28</f>
        <v>Перевозка строительного мусора автосамосвалами грузоподъемностью до 10 т на расстояние 1 км - при механизированной погрузке</v>
      </c>
      <c r="C20" s="63" t="str">
        <f>Source!H28</f>
        <v>т</v>
      </c>
      <c r="D20" s="64">
        <f>Source!I28</f>
        <v>119.904</v>
      </c>
      <c r="E20" s="62"/>
    </row>
    <row r="21" spans="1:5" ht="28.5" x14ac:dyDescent="0.2">
      <c r="A21" s="61" t="str">
        <f>Source!E29</f>
        <v>5</v>
      </c>
      <c r="B21" s="62" t="str">
        <f>Source!G29</f>
        <v>Перевозка строительного мусора автосамосвалами грузоподъемностью до 10 т - добавляется на каждый последующий 1 км до 100 км</v>
      </c>
      <c r="C21" s="63" t="str">
        <f>Source!H29</f>
        <v>т</v>
      </c>
      <c r="D21" s="64">
        <f>Source!I29</f>
        <v>119.904</v>
      </c>
      <c r="E21" s="62"/>
    </row>
    <row r="22" spans="1:5" ht="57" x14ac:dyDescent="0.2">
      <c r="A22" s="61" t="str">
        <f>Source!E30</f>
        <v>6</v>
      </c>
      <c r="B22" s="62" t="str">
        <f>Source!G30</f>
        <v>Стоимость приемки отходов строительства и сноса (боя кирпичной кладки, бетонных и железобетонных изделий, отходов бетона и железобетона, асфальтобетона в кусковой форме) для переработки дробильными комплексами</v>
      </c>
      <c r="C22" s="63" t="str">
        <f>Source!H30</f>
        <v>т</v>
      </c>
      <c r="D22" s="64">
        <f>Source!I30</f>
        <v>119.904</v>
      </c>
      <c r="E22" s="62"/>
    </row>
    <row r="23" spans="1:5" ht="28.5" x14ac:dyDescent="0.2">
      <c r="A23" s="61" t="str">
        <f>Source!E31</f>
        <v>7</v>
      </c>
      <c r="B23" s="62" t="str">
        <f>Source!G31</f>
        <v>Устройство водоотводных лотков из сборного бетона на тротуарах при покрытиях бетонной плиткой</v>
      </c>
      <c r="C23" s="63" t="str">
        <f>Source!H31</f>
        <v>100 м</v>
      </c>
      <c r="D23" s="64">
        <f>Source!I31</f>
        <v>0.8</v>
      </c>
      <c r="E23" s="62"/>
    </row>
    <row r="24" spans="1:5" ht="28.5" x14ac:dyDescent="0.2">
      <c r="A24" s="61" t="str">
        <f>Source!E32</f>
        <v>8</v>
      </c>
      <c r="B24" s="62" t="str">
        <f>Source!G32</f>
        <v>Гидроизоляция стен, фундаментов боковая обмазочная битумная в 2 слоя по выровненной поверхности бутовой кладки, кирпичу, бетону</v>
      </c>
      <c r="C24" s="63" t="str">
        <f>Source!H32</f>
        <v>100 м2</v>
      </c>
      <c r="D24" s="64">
        <f>Source!I32</f>
        <v>7</v>
      </c>
      <c r="E24" s="62"/>
    </row>
    <row r="25" spans="1:5" ht="28.5" x14ac:dyDescent="0.2">
      <c r="A25" s="61" t="str">
        <f>Source!E33</f>
        <v>9</v>
      </c>
      <c r="B25" s="62" t="str">
        <f>Source!G33</f>
        <v>Гидроизоляция стен, фундаментов боковая оклеечная по выровненной поверхности бутовой кладки, кирпичу и бетону в 2 слоя</v>
      </c>
      <c r="C25" s="63" t="str">
        <f>Source!H33</f>
        <v>100 м2</v>
      </c>
      <c r="D25" s="64">
        <f>Source!I33</f>
        <v>2</v>
      </c>
      <c r="E25" s="62"/>
    </row>
    <row r="26" spans="1:5" ht="42.75" x14ac:dyDescent="0.2">
      <c r="A26" s="57" t="str">
        <f>Source!E34</f>
        <v>10</v>
      </c>
      <c r="B26" s="58" t="str">
        <f>Source!G34</f>
        <v>Устройство покрытий из гранитных малоразмерных плит на цементно-песчаной подушке толщиной 50 мм, смесь марки М150 (без стоимости гранитных плит)</v>
      </c>
      <c r="C26" s="59" t="str">
        <f>Source!H34</f>
        <v>100 м2</v>
      </c>
      <c r="D26" s="60">
        <f>Source!I34</f>
        <v>8.36</v>
      </c>
      <c r="E26" s="58"/>
    </row>
    <row r="29" spans="1:5" ht="15" x14ac:dyDescent="0.25">
      <c r="A29" s="43" t="s">
        <v>221</v>
      </c>
      <c r="B29" s="43"/>
      <c r="C29" s="43" t="s">
        <v>222</v>
      </c>
      <c r="D29" s="43"/>
      <c r="E29" s="43"/>
    </row>
  </sheetData>
  <mergeCells count="5">
    <mergeCell ref="C5:D5"/>
    <mergeCell ref="C7:D7"/>
    <mergeCell ref="A11:D11"/>
    <mergeCell ref="A12:D12"/>
    <mergeCell ref="A16:E16"/>
  </mergeCells>
  <pageMargins left="0.4" right="0.2" top="0.2" bottom="0.4" header="0.2" footer="0.2"/>
  <pageSetup paperSize="9" scale="77" fitToHeight="0" orientation="portrait" r:id="rId1"/>
  <headerFooter>
    <oddHeader>&amp;L&amp;8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/>
  </sheetViews>
  <sheetFormatPr defaultRowHeight="12.75" x14ac:dyDescent="0.2"/>
  <sheetData>
    <row r="1" spans="1:23" x14ac:dyDescent="0.2">
      <c r="A1" t="s">
        <v>246</v>
      </c>
      <c r="B1" t="s">
        <v>247</v>
      </c>
      <c r="C1" t="s">
        <v>248</v>
      </c>
      <c r="D1" t="s">
        <v>249</v>
      </c>
      <c r="E1" t="s">
        <v>250</v>
      </c>
      <c r="F1" t="s">
        <v>251</v>
      </c>
      <c r="G1" t="s">
        <v>252</v>
      </c>
      <c r="H1" t="s">
        <v>253</v>
      </c>
      <c r="I1" t="s">
        <v>254</v>
      </c>
      <c r="J1" t="s">
        <v>255</v>
      </c>
      <c r="K1" t="s">
        <v>256</v>
      </c>
    </row>
    <row r="2" spans="1:23" x14ac:dyDescent="0.2">
      <c r="A2">
        <v>1</v>
      </c>
      <c r="B2">
        <v>0</v>
      </c>
      <c r="C2">
        <v>0</v>
      </c>
      <c r="D2">
        <v>1</v>
      </c>
      <c r="E2">
        <v>1</v>
      </c>
      <c r="F2">
        <v>1</v>
      </c>
      <c r="G2">
        <v>1</v>
      </c>
      <c r="H2">
        <v>0</v>
      </c>
      <c r="I2">
        <v>0</v>
      </c>
      <c r="J2">
        <v>0</v>
      </c>
      <c r="K2">
        <v>1</v>
      </c>
    </row>
    <row r="4" spans="1:23" x14ac:dyDescent="0.2">
      <c r="A4" t="s">
        <v>223</v>
      </c>
      <c r="B4" t="s">
        <v>224</v>
      </c>
      <c r="C4" t="s">
        <v>225</v>
      </c>
      <c r="D4" t="s">
        <v>226</v>
      </c>
      <c r="E4" t="s">
        <v>227</v>
      </c>
      <c r="F4" t="s">
        <v>228</v>
      </c>
      <c r="G4" t="s">
        <v>229</v>
      </c>
      <c r="H4" t="s">
        <v>230</v>
      </c>
      <c r="I4" t="s">
        <v>231</v>
      </c>
      <c r="J4" t="s">
        <v>232</v>
      </c>
      <c r="K4" t="s">
        <v>233</v>
      </c>
      <c r="L4" t="s">
        <v>234</v>
      </c>
      <c r="M4" t="s">
        <v>235</v>
      </c>
      <c r="N4" t="s">
        <v>236</v>
      </c>
      <c r="O4" t="s">
        <v>237</v>
      </c>
      <c r="P4" t="s">
        <v>238</v>
      </c>
      <c r="Q4" t="s">
        <v>239</v>
      </c>
      <c r="R4" t="s">
        <v>240</v>
      </c>
      <c r="S4" t="s">
        <v>241</v>
      </c>
      <c r="T4" t="s">
        <v>242</v>
      </c>
      <c r="U4" t="s">
        <v>243</v>
      </c>
      <c r="V4" t="s">
        <v>244</v>
      </c>
      <c r="W4" t="s">
        <v>245</v>
      </c>
    </row>
    <row r="6" spans="1:23" x14ac:dyDescent="0.2">
      <c r="A6">
        <f>Source!A20</f>
        <v>3</v>
      </c>
      <c r="B6">
        <v>20</v>
      </c>
      <c r="G6" t="str">
        <f>Source!G20</f>
        <v>Новая локальная смета</v>
      </c>
    </row>
    <row r="7" spans="1:23" x14ac:dyDescent="0.2">
      <c r="A7">
        <f>Source!A30</f>
        <v>17</v>
      </c>
      <c r="B7">
        <v>30</v>
      </c>
      <c r="C7">
        <v>3</v>
      </c>
      <c r="D7">
        <f>Source!BI30</f>
        <v>4</v>
      </c>
      <c r="E7">
        <f>Source!FS30</f>
        <v>0</v>
      </c>
      <c r="F7" t="str">
        <f>Source!F30</f>
        <v>21.25-0-5</v>
      </c>
      <c r="G7" t="str">
        <f>Source!G30</f>
        <v>Стоимость приемки отходов строительства и сноса (боя кирпичной кладки, бетонных и железобетонных изделий, отходов бетона и железобетона, асфальтобетона в кусковой форме) для переработки дробильными комплексами</v>
      </c>
      <c r="H7" t="str">
        <f>Source!H30</f>
        <v>т</v>
      </c>
      <c r="I7">
        <f>Source!I30</f>
        <v>119.904</v>
      </c>
      <c r="J7">
        <v>1</v>
      </c>
      <c r="K7">
        <f>Source!AC30</f>
        <v>150.61000000000001</v>
      </c>
      <c r="M7">
        <f>ROUND(K7*I7, 2)</f>
        <v>18058.740000000002</v>
      </c>
      <c r="N7">
        <f>Source!AC30*IF(Source!BC30&lt;&gt; 0, Source!BC30, 1)</f>
        <v>150.61000000000001</v>
      </c>
      <c r="O7">
        <f>ROUND(N7*I7, 2)</f>
        <v>18058.740000000002</v>
      </c>
      <c r="P7">
        <f>Source!AE30</f>
        <v>0</v>
      </c>
      <c r="R7">
        <f>ROUND(P7*I7, 2)</f>
        <v>0</v>
      </c>
      <c r="S7">
        <f>Source!AE30*IF(Source!BS30&lt;&gt; 0, Source!BS30, 1)</f>
        <v>0</v>
      </c>
      <c r="T7">
        <f>ROUND(S7*I7, 2)</f>
        <v>0</v>
      </c>
      <c r="U7">
        <f>Source!GF30</f>
        <v>1262255996</v>
      </c>
      <c r="V7">
        <v>693054981</v>
      </c>
      <c r="W7">
        <v>693054981</v>
      </c>
    </row>
    <row r="8" spans="1:23" x14ac:dyDescent="0.2">
      <c r="A8">
        <f>Source!A31</f>
        <v>17</v>
      </c>
      <c r="C8">
        <v>3</v>
      </c>
      <c r="D8">
        <v>0</v>
      </c>
      <c r="E8">
        <f>SmtRes!AV13</f>
        <v>0</v>
      </c>
      <c r="F8" t="str">
        <f>SmtRes!I13</f>
        <v>21.5-3-146</v>
      </c>
      <c r="G8" t="str">
        <f>SmtRes!K13</f>
        <v>Лотки бетонные с решеткой щелевой чугунной ВЧ, водоотводные для тротуаров, марка ЛВ-11.19.23Б</v>
      </c>
      <c r="H8" t="str">
        <f>SmtRes!O13</f>
        <v>компл.</v>
      </c>
      <c r="I8">
        <f>SmtRes!Y13*Source!I31</f>
        <v>80</v>
      </c>
      <c r="J8">
        <f>SmtRes!AO13</f>
        <v>1</v>
      </c>
      <c r="K8">
        <f>SmtRes!AE13</f>
        <v>5240.13</v>
      </c>
      <c r="L8">
        <f>SmtRes!DB13</f>
        <v>524013</v>
      </c>
      <c r="M8">
        <f>ROUND(ROUND(L8*Source!I31, 6)*1, 2)</f>
        <v>419210.4</v>
      </c>
      <c r="N8">
        <f>SmtRes!AA13</f>
        <v>5240.13</v>
      </c>
      <c r="O8">
        <f>ROUND(ROUND(L8*Source!I31, 6)*SmtRes!DA13, 2)</f>
        <v>419210.4</v>
      </c>
      <c r="P8">
        <f>SmtRes!AG13</f>
        <v>0</v>
      </c>
      <c r="Q8">
        <f>SmtRes!DC13</f>
        <v>0</v>
      </c>
      <c r="R8">
        <f>ROUND(ROUND(Q8*Source!I31, 6)*1, 2)</f>
        <v>0</v>
      </c>
      <c r="S8">
        <f>SmtRes!AC13</f>
        <v>0</v>
      </c>
      <c r="T8">
        <f>ROUND(ROUND(Q8*Source!I31, 6)*SmtRes!AK13, 2)</f>
        <v>0</v>
      </c>
      <c r="U8">
        <f>SmtRes!X13</f>
        <v>318137626</v>
      </c>
      <c r="V8">
        <v>-1678444639</v>
      </c>
      <c r="W8">
        <v>-1678444639</v>
      </c>
    </row>
    <row r="9" spans="1:23" x14ac:dyDescent="0.2">
      <c r="A9">
        <f>Source!A31</f>
        <v>17</v>
      </c>
      <c r="C9">
        <v>3</v>
      </c>
      <c r="D9">
        <v>0</v>
      </c>
      <c r="E9">
        <f>SmtRes!AV12</f>
        <v>0</v>
      </c>
      <c r="F9" t="str">
        <f>SmtRes!I12</f>
        <v>21.3-1-66</v>
      </c>
      <c r="G9" t="str">
        <f>SmtRes!K12</f>
        <v>Смеси бетонные, БСГ, тяжелого бетона на гранитном щебне фракция 5-20, класс прочности: В15 (М200); П1, F100, W2</v>
      </c>
      <c r="H9" t="str">
        <f>SmtRes!O12</f>
        <v>м3</v>
      </c>
      <c r="I9">
        <f>SmtRes!Y12*Source!I31</f>
        <v>3.44</v>
      </c>
      <c r="J9">
        <f>SmtRes!AO12</f>
        <v>1</v>
      </c>
      <c r="K9">
        <f>SmtRes!AE12</f>
        <v>3529.68</v>
      </c>
      <c r="L9">
        <f>SmtRes!DB12</f>
        <v>15177.62</v>
      </c>
      <c r="M9">
        <f>ROUND(ROUND(L9*Source!I31, 6)*1, 2)</f>
        <v>12142.1</v>
      </c>
      <c r="N9">
        <f>SmtRes!AA12</f>
        <v>3529.68</v>
      </c>
      <c r="O9">
        <f>ROUND(ROUND(L9*Source!I31, 6)*SmtRes!DA12, 2)</f>
        <v>12142.1</v>
      </c>
      <c r="P9">
        <f>SmtRes!AG12</f>
        <v>0</v>
      </c>
      <c r="Q9">
        <f>SmtRes!DC12</f>
        <v>0</v>
      </c>
      <c r="R9">
        <f>ROUND(ROUND(Q9*Source!I31, 6)*1, 2)</f>
        <v>0</v>
      </c>
      <c r="S9">
        <f>SmtRes!AC12</f>
        <v>0</v>
      </c>
      <c r="T9">
        <f>ROUND(ROUND(Q9*Source!I31, 6)*SmtRes!AK12, 2)</f>
        <v>0</v>
      </c>
      <c r="U9">
        <f>SmtRes!X12</f>
        <v>1755968526</v>
      </c>
      <c r="V9">
        <v>-1275694715</v>
      </c>
      <c r="W9">
        <v>-1275694715</v>
      </c>
    </row>
    <row r="10" spans="1:23" x14ac:dyDescent="0.2">
      <c r="A10">
        <f>Source!A32</f>
        <v>17</v>
      </c>
      <c r="C10">
        <v>3</v>
      </c>
      <c r="D10">
        <v>0</v>
      </c>
      <c r="E10">
        <f>SmtRes!AV18</f>
        <v>0</v>
      </c>
      <c r="F10" t="str">
        <f>SmtRes!I18</f>
        <v>21.1-4-9</v>
      </c>
      <c r="G10" t="str">
        <f>SmtRes!K18</f>
        <v>Керосин</v>
      </c>
      <c r="H10" t="str">
        <f>SmtRes!O18</f>
        <v>т</v>
      </c>
      <c r="I10">
        <f>SmtRes!Y18*Source!I32</f>
        <v>0.16800000000000001</v>
      </c>
      <c r="J10">
        <f>SmtRes!AO18</f>
        <v>1</v>
      </c>
      <c r="K10">
        <f>SmtRes!AE18</f>
        <v>77577.179999999993</v>
      </c>
      <c r="L10">
        <f>SmtRes!DB18</f>
        <v>1861.85</v>
      </c>
      <c r="M10">
        <f>ROUND(ROUND(L10*Source!I32, 6)*1, 2)</f>
        <v>13032.95</v>
      </c>
      <c r="N10">
        <f>SmtRes!AA18</f>
        <v>77577.179999999993</v>
      </c>
      <c r="O10">
        <f>ROUND(ROUND(L10*Source!I32, 6)*SmtRes!DA18, 2)</f>
        <v>13032.95</v>
      </c>
      <c r="P10">
        <f>SmtRes!AG18</f>
        <v>0</v>
      </c>
      <c r="Q10">
        <f>SmtRes!DC18</f>
        <v>0</v>
      </c>
      <c r="R10">
        <f>ROUND(ROUND(Q10*Source!I32, 6)*1, 2)</f>
        <v>0</v>
      </c>
      <c r="S10">
        <f>SmtRes!AC18</f>
        <v>0</v>
      </c>
      <c r="T10">
        <f>ROUND(ROUND(Q10*Source!I32, 6)*SmtRes!AK18, 2)</f>
        <v>0</v>
      </c>
      <c r="U10">
        <f>SmtRes!X18</f>
        <v>-102915952</v>
      </c>
      <c r="V10">
        <v>-1996680702</v>
      </c>
      <c r="W10">
        <v>-1996680702</v>
      </c>
    </row>
    <row r="11" spans="1:23" x14ac:dyDescent="0.2">
      <c r="A11">
        <f>Source!A32</f>
        <v>17</v>
      </c>
      <c r="C11">
        <v>3</v>
      </c>
      <c r="D11">
        <v>0</v>
      </c>
      <c r="E11">
        <f>SmtRes!AV17</f>
        <v>0</v>
      </c>
      <c r="F11" t="str">
        <f>SmtRes!I17</f>
        <v>21.1-20-7</v>
      </c>
      <c r="G11" t="str">
        <f>SmtRes!K17</f>
        <v>Ветошь</v>
      </c>
      <c r="H11" t="str">
        <f>SmtRes!O17</f>
        <v>кг</v>
      </c>
      <c r="I11">
        <f>SmtRes!Y17*Source!I32</f>
        <v>0.70000000000000007</v>
      </c>
      <c r="J11">
        <f>SmtRes!AO17</f>
        <v>1</v>
      </c>
      <c r="K11">
        <f>SmtRes!AE17</f>
        <v>29.63</v>
      </c>
      <c r="L11">
        <f>SmtRes!DB17</f>
        <v>2.96</v>
      </c>
      <c r="M11">
        <f>ROUND(ROUND(L11*Source!I32, 6)*1, 2)</f>
        <v>20.72</v>
      </c>
      <c r="N11">
        <f>SmtRes!AA17</f>
        <v>29.63</v>
      </c>
      <c r="O11">
        <f>ROUND(ROUND(L11*Source!I32, 6)*SmtRes!DA17, 2)</f>
        <v>20.72</v>
      </c>
      <c r="P11">
        <f>SmtRes!AG17</f>
        <v>0</v>
      </c>
      <c r="Q11">
        <f>SmtRes!DC17</f>
        <v>0</v>
      </c>
      <c r="R11">
        <f>ROUND(ROUND(Q11*Source!I32, 6)*1, 2)</f>
        <v>0</v>
      </c>
      <c r="S11">
        <f>SmtRes!AC17</f>
        <v>0</v>
      </c>
      <c r="T11">
        <f>ROUND(ROUND(Q11*Source!I32, 6)*SmtRes!AK17, 2)</f>
        <v>0</v>
      </c>
      <c r="U11">
        <f>SmtRes!X17</f>
        <v>1127499365</v>
      </c>
      <c r="V11">
        <v>1565486064</v>
      </c>
      <c r="W11">
        <v>1565486064</v>
      </c>
    </row>
    <row r="12" spans="1:23" x14ac:dyDescent="0.2">
      <c r="A12">
        <f>Source!A32</f>
        <v>17</v>
      </c>
      <c r="C12">
        <v>3</v>
      </c>
      <c r="D12">
        <v>0</v>
      </c>
      <c r="E12">
        <f>SmtRes!AV16</f>
        <v>0</v>
      </c>
      <c r="F12" t="str">
        <f>SmtRes!I16</f>
        <v>21.1-1-75</v>
      </c>
      <c r="G12" t="str">
        <f>SmtRes!K16</f>
        <v>Мастика клеящая морозостойкая, марка МБ-50, битумно-масляная</v>
      </c>
      <c r="H12" t="str">
        <f>SmtRes!O16</f>
        <v>т</v>
      </c>
      <c r="I12">
        <f>SmtRes!Y16*Source!I32</f>
        <v>1.68</v>
      </c>
      <c r="J12">
        <f>SmtRes!AO16</f>
        <v>1</v>
      </c>
      <c r="K12">
        <f>SmtRes!AE16</f>
        <v>123041.56</v>
      </c>
      <c r="L12">
        <f>SmtRes!DB16</f>
        <v>29529.97</v>
      </c>
      <c r="M12">
        <f>ROUND(ROUND(L12*Source!I32, 6)*1, 2)</f>
        <v>206709.79</v>
      </c>
      <c r="N12">
        <f>SmtRes!AA16</f>
        <v>123041.56</v>
      </c>
      <c r="O12">
        <f>ROUND(ROUND(L12*Source!I32, 6)*SmtRes!DA16, 2)</f>
        <v>206709.79</v>
      </c>
      <c r="P12">
        <f>SmtRes!AG16</f>
        <v>0</v>
      </c>
      <c r="Q12">
        <f>SmtRes!DC16</f>
        <v>0</v>
      </c>
      <c r="R12">
        <f>ROUND(ROUND(Q12*Source!I32, 6)*1, 2)</f>
        <v>0</v>
      </c>
      <c r="S12">
        <f>SmtRes!AC16</f>
        <v>0</v>
      </c>
      <c r="T12">
        <f>ROUND(ROUND(Q12*Source!I32, 6)*SmtRes!AK16, 2)</f>
        <v>0</v>
      </c>
      <c r="U12">
        <f>SmtRes!X16</f>
        <v>-2050275555</v>
      </c>
      <c r="V12">
        <v>-466973832</v>
      </c>
      <c r="W12">
        <v>-466973832</v>
      </c>
    </row>
    <row r="13" spans="1:23" x14ac:dyDescent="0.2">
      <c r="A13">
        <f>Source!A32</f>
        <v>17</v>
      </c>
      <c r="C13">
        <v>3</v>
      </c>
      <c r="D13">
        <v>0</v>
      </c>
      <c r="E13">
        <f>SmtRes!AV15</f>
        <v>0</v>
      </c>
      <c r="F13" t="str">
        <f>SmtRes!I15</f>
        <v>21.1-1-5</v>
      </c>
      <c r="G13" t="str">
        <f>SmtRes!K15</f>
        <v>Битумы нефтяные, строительные марка БН, БНСК</v>
      </c>
      <c r="H13" t="str">
        <f>SmtRes!O15</f>
        <v>т</v>
      </c>
      <c r="I13">
        <f>SmtRes!Y15*Source!I32</f>
        <v>0.112</v>
      </c>
      <c r="J13">
        <f>SmtRes!AO15</f>
        <v>1</v>
      </c>
      <c r="K13">
        <f>SmtRes!AE15</f>
        <v>19810.5</v>
      </c>
      <c r="L13">
        <f>SmtRes!DB15</f>
        <v>316.97000000000003</v>
      </c>
      <c r="M13">
        <f>ROUND(ROUND(L13*Source!I32, 6)*1, 2)</f>
        <v>2218.79</v>
      </c>
      <c r="N13">
        <f>SmtRes!AA15</f>
        <v>19810.5</v>
      </c>
      <c r="O13">
        <f>ROUND(ROUND(L13*Source!I32, 6)*SmtRes!DA15, 2)</f>
        <v>2218.79</v>
      </c>
      <c r="P13">
        <f>SmtRes!AG15</f>
        <v>0</v>
      </c>
      <c r="Q13">
        <f>SmtRes!DC15</f>
        <v>0</v>
      </c>
      <c r="R13">
        <f>ROUND(ROUND(Q13*Source!I32, 6)*1, 2)</f>
        <v>0</v>
      </c>
      <c r="S13">
        <f>SmtRes!AC15</f>
        <v>0</v>
      </c>
      <c r="T13">
        <f>ROUND(ROUND(Q13*Source!I32, 6)*SmtRes!AK15, 2)</f>
        <v>0</v>
      </c>
      <c r="U13">
        <f>SmtRes!X15</f>
        <v>-1010970644</v>
      </c>
      <c r="V13">
        <v>602098204</v>
      </c>
      <c r="W13">
        <v>602098204</v>
      </c>
    </row>
    <row r="14" spans="1:23" x14ac:dyDescent="0.2">
      <c r="A14">
        <f>Source!A33</f>
        <v>17</v>
      </c>
      <c r="C14">
        <v>3</v>
      </c>
      <c r="D14">
        <v>0</v>
      </c>
      <c r="E14">
        <f>SmtRes!AV23</f>
        <v>0</v>
      </c>
      <c r="F14" t="str">
        <f>SmtRes!I23</f>
        <v>21.1-4-9</v>
      </c>
      <c r="G14" t="str">
        <f>SmtRes!K23</f>
        <v>Керосин</v>
      </c>
      <c r="H14" t="str">
        <f>SmtRes!O23</f>
        <v>т</v>
      </c>
      <c r="I14">
        <f>SmtRes!Y23*Source!I33</f>
        <v>4.8000000000000001E-2</v>
      </c>
      <c r="J14">
        <f>SmtRes!AO23</f>
        <v>1</v>
      </c>
      <c r="K14">
        <f>SmtRes!AE23</f>
        <v>77577.179999999993</v>
      </c>
      <c r="L14">
        <f>SmtRes!DB23</f>
        <v>1861.85</v>
      </c>
      <c r="M14">
        <f>ROUND(ROUND(L14*Source!I33, 6)*1, 2)</f>
        <v>3723.7</v>
      </c>
      <c r="N14">
        <f>SmtRes!AA23</f>
        <v>77577.179999999993</v>
      </c>
      <c r="O14">
        <f>ROUND(ROUND(L14*Source!I33, 6)*SmtRes!DA23, 2)</f>
        <v>3723.7</v>
      </c>
      <c r="P14">
        <f>SmtRes!AG23</f>
        <v>0</v>
      </c>
      <c r="Q14">
        <f>SmtRes!DC23</f>
        <v>0</v>
      </c>
      <c r="R14">
        <f>ROUND(ROUND(Q14*Source!I33, 6)*1, 2)</f>
        <v>0</v>
      </c>
      <c r="S14">
        <f>SmtRes!AC23</f>
        <v>0</v>
      </c>
      <c r="T14">
        <f>ROUND(ROUND(Q14*Source!I33, 6)*SmtRes!AK23, 2)</f>
        <v>0</v>
      </c>
      <c r="U14">
        <f>SmtRes!X23</f>
        <v>-102915952</v>
      </c>
      <c r="V14">
        <v>-1996680702</v>
      </c>
      <c r="W14">
        <v>-1996680702</v>
      </c>
    </row>
    <row r="15" spans="1:23" x14ac:dyDescent="0.2">
      <c r="A15">
        <f>Source!A33</f>
        <v>17</v>
      </c>
      <c r="C15">
        <v>3</v>
      </c>
      <c r="D15">
        <v>0</v>
      </c>
      <c r="E15">
        <f>SmtRes!AV22</f>
        <v>0</v>
      </c>
      <c r="F15" t="str">
        <f>SmtRes!I22</f>
        <v>21.1-3-44</v>
      </c>
      <c r="G15" t="str">
        <f>SmtRes!K22</f>
        <v>Материал рулонный кровельный и гидроизоляционный наплавляемый битумный на основе стеклоткани "Гидростеклоизол", марка ТПП-3,5</v>
      </c>
      <c r="H15" t="str">
        <f>SmtRes!O22</f>
        <v>м2</v>
      </c>
      <c r="I15">
        <f>SmtRes!Y22*Source!I33</f>
        <v>460</v>
      </c>
      <c r="J15">
        <f>SmtRes!AO22</f>
        <v>1</v>
      </c>
      <c r="K15">
        <f>SmtRes!AE22</f>
        <v>71.72</v>
      </c>
      <c r="L15">
        <f>SmtRes!DB22</f>
        <v>16495.599999999999</v>
      </c>
      <c r="M15">
        <f>ROUND(ROUND(L15*Source!I33, 6)*1, 2)</f>
        <v>32991.199999999997</v>
      </c>
      <c r="N15">
        <f>SmtRes!AA22</f>
        <v>71.72</v>
      </c>
      <c r="O15">
        <f>ROUND(ROUND(L15*Source!I33, 6)*SmtRes!DA22, 2)</f>
        <v>32991.199999999997</v>
      </c>
      <c r="P15">
        <f>SmtRes!AG22</f>
        <v>0</v>
      </c>
      <c r="Q15">
        <f>SmtRes!DC22</f>
        <v>0</v>
      </c>
      <c r="R15">
        <f>ROUND(ROUND(Q15*Source!I33, 6)*1, 2)</f>
        <v>0</v>
      </c>
      <c r="S15">
        <f>SmtRes!AC22</f>
        <v>0</v>
      </c>
      <c r="T15">
        <f>ROUND(ROUND(Q15*Source!I33, 6)*SmtRes!AK22, 2)</f>
        <v>0</v>
      </c>
      <c r="U15">
        <f>SmtRes!X22</f>
        <v>-930236831</v>
      </c>
      <c r="V15">
        <v>-928135258</v>
      </c>
      <c r="W15">
        <v>-928135258</v>
      </c>
    </row>
    <row r="16" spans="1:23" x14ac:dyDescent="0.2">
      <c r="A16">
        <f>Source!A33</f>
        <v>17</v>
      </c>
      <c r="C16">
        <v>3</v>
      </c>
      <c r="D16">
        <v>0</v>
      </c>
      <c r="E16">
        <f>SmtRes!AV21</f>
        <v>0</v>
      </c>
      <c r="F16" t="str">
        <f>SmtRes!I21</f>
        <v>21.1-1-75</v>
      </c>
      <c r="G16" t="str">
        <f>SmtRes!K21</f>
        <v>Мастика клеящая морозостойкая, марка МБ-50, битумно-масляная</v>
      </c>
      <c r="H16" t="str">
        <f>SmtRes!O21</f>
        <v>т</v>
      </c>
      <c r="I16">
        <f>SmtRes!Y21*Source!I33</f>
        <v>0.88</v>
      </c>
      <c r="J16">
        <f>SmtRes!AO21</f>
        <v>1</v>
      </c>
      <c r="K16">
        <f>SmtRes!AE21</f>
        <v>123041.56</v>
      </c>
      <c r="L16">
        <f>SmtRes!DB21</f>
        <v>54138.29</v>
      </c>
      <c r="M16">
        <f>ROUND(ROUND(L16*Source!I33, 6)*1, 2)</f>
        <v>108276.58</v>
      </c>
      <c r="N16">
        <f>SmtRes!AA21</f>
        <v>123041.56</v>
      </c>
      <c r="O16">
        <f>ROUND(ROUND(L16*Source!I33, 6)*SmtRes!DA21, 2)</f>
        <v>108276.58</v>
      </c>
      <c r="P16">
        <f>SmtRes!AG21</f>
        <v>0</v>
      </c>
      <c r="Q16">
        <f>SmtRes!DC21</f>
        <v>0</v>
      </c>
      <c r="R16">
        <f>ROUND(ROUND(Q16*Source!I33, 6)*1, 2)</f>
        <v>0</v>
      </c>
      <c r="S16">
        <f>SmtRes!AC21</f>
        <v>0</v>
      </c>
      <c r="T16">
        <f>ROUND(ROUND(Q16*Source!I33, 6)*SmtRes!AK21, 2)</f>
        <v>0</v>
      </c>
      <c r="U16">
        <f>SmtRes!X21</f>
        <v>-2050275555</v>
      </c>
      <c r="V16">
        <v>-466973832</v>
      </c>
      <c r="W16">
        <v>-466973832</v>
      </c>
    </row>
    <row r="17" spans="1:23" x14ac:dyDescent="0.2">
      <c r="A17">
        <f>Source!A33</f>
        <v>17</v>
      </c>
      <c r="C17">
        <v>3</v>
      </c>
      <c r="D17">
        <v>0</v>
      </c>
      <c r="E17">
        <f>SmtRes!AV20</f>
        <v>0</v>
      </c>
      <c r="F17" t="str">
        <f>SmtRes!I20</f>
        <v>21.1-1-5</v>
      </c>
      <c r="G17" t="str">
        <f>SmtRes!K20</f>
        <v>Битумы нефтяные, строительные марка БН, БНСК</v>
      </c>
      <c r="H17" t="str">
        <f>SmtRes!O20</f>
        <v>т</v>
      </c>
      <c r="I17">
        <f>SmtRes!Y20*Source!I33</f>
        <v>3.2000000000000001E-2</v>
      </c>
      <c r="J17">
        <f>SmtRes!AO20</f>
        <v>1</v>
      </c>
      <c r="K17">
        <f>SmtRes!AE20</f>
        <v>19810.5</v>
      </c>
      <c r="L17">
        <f>SmtRes!DB20</f>
        <v>316.97000000000003</v>
      </c>
      <c r="M17">
        <f>ROUND(ROUND(L17*Source!I33, 6)*1, 2)</f>
        <v>633.94000000000005</v>
      </c>
      <c r="N17">
        <f>SmtRes!AA20</f>
        <v>19810.5</v>
      </c>
      <c r="O17">
        <f>ROUND(ROUND(L17*Source!I33, 6)*SmtRes!DA20, 2)</f>
        <v>633.94000000000005</v>
      </c>
      <c r="P17">
        <f>SmtRes!AG20</f>
        <v>0</v>
      </c>
      <c r="Q17">
        <f>SmtRes!DC20</f>
        <v>0</v>
      </c>
      <c r="R17">
        <f>ROUND(ROUND(Q17*Source!I33, 6)*1, 2)</f>
        <v>0</v>
      </c>
      <c r="S17">
        <f>SmtRes!AC20</f>
        <v>0</v>
      </c>
      <c r="T17">
        <f>ROUND(ROUND(Q17*Source!I33, 6)*SmtRes!AK20, 2)</f>
        <v>0</v>
      </c>
      <c r="U17">
        <f>SmtRes!X20</f>
        <v>-1010970644</v>
      </c>
      <c r="V17">
        <v>602098204</v>
      </c>
      <c r="W17">
        <v>602098204</v>
      </c>
    </row>
    <row r="18" spans="1:23" x14ac:dyDescent="0.2">
      <c r="A18">
        <f>Source!A34</f>
        <v>17</v>
      </c>
      <c r="C18">
        <v>3</v>
      </c>
      <c r="D18">
        <v>0</v>
      </c>
      <c r="E18">
        <f>SmtRes!AV28</f>
        <v>0</v>
      </c>
      <c r="F18" t="str">
        <f>SmtRes!I28</f>
        <v>21.3-2-52</v>
      </c>
      <c r="G18" t="str">
        <f>SmtRes!K28</f>
        <v>Смеси сухие монтажно-кладочные цементно-песчаные: В12,5 (М150), F100, крупность заполнителя не более 3,5 мм</v>
      </c>
      <c r="H18" t="str">
        <f>SmtRes!O28</f>
        <v>т</v>
      </c>
      <c r="I18">
        <f>SmtRes!Y28*Source!I34</f>
        <v>83.6</v>
      </c>
      <c r="J18">
        <f>SmtRes!AO28</f>
        <v>1</v>
      </c>
      <c r="K18">
        <f>SmtRes!AE28</f>
        <v>3130.47</v>
      </c>
      <c r="L18">
        <f>SmtRes!DB28</f>
        <v>31304.7</v>
      </c>
      <c r="M18">
        <f>ROUND(ROUND(L18*Source!I34, 6)*1, 2)</f>
        <v>261707.29</v>
      </c>
      <c r="N18">
        <f>SmtRes!AA28</f>
        <v>3130.47</v>
      </c>
      <c r="O18">
        <f>ROUND(ROUND(L18*Source!I34, 6)*SmtRes!DA28, 2)</f>
        <v>261707.29</v>
      </c>
      <c r="P18">
        <f>SmtRes!AG28</f>
        <v>0</v>
      </c>
      <c r="Q18">
        <f>SmtRes!DC28</f>
        <v>0</v>
      </c>
      <c r="R18">
        <f>ROUND(ROUND(Q18*Source!I34, 6)*1, 2)</f>
        <v>0</v>
      </c>
      <c r="S18">
        <f>SmtRes!AC28</f>
        <v>0</v>
      </c>
      <c r="T18">
        <f>ROUND(ROUND(Q18*Source!I34, 6)*SmtRes!AK28, 2)</f>
        <v>0</v>
      </c>
      <c r="U18">
        <f>SmtRes!X28</f>
        <v>454607026</v>
      </c>
      <c r="V18">
        <v>-779812357</v>
      </c>
      <c r="W18">
        <v>-779812357</v>
      </c>
    </row>
    <row r="19" spans="1:23" x14ac:dyDescent="0.2">
      <c r="A19">
        <f>Source!A34</f>
        <v>17</v>
      </c>
      <c r="C19">
        <v>3</v>
      </c>
      <c r="D19">
        <v>0</v>
      </c>
      <c r="E19">
        <f>SmtRes!AV27</f>
        <v>0</v>
      </c>
      <c r="F19" t="str">
        <f>SmtRes!I27</f>
        <v>21.1-25-13</v>
      </c>
      <c r="G19" t="str">
        <f>SmtRes!K27</f>
        <v>Вода</v>
      </c>
      <c r="H19" t="str">
        <f>SmtRes!O27</f>
        <v>м3</v>
      </c>
      <c r="I19">
        <f>SmtRes!Y27*Source!I34</f>
        <v>8.36</v>
      </c>
      <c r="J19">
        <f>SmtRes!AO27</f>
        <v>1</v>
      </c>
      <c r="K19">
        <f>SmtRes!AE27</f>
        <v>33.729999999999997</v>
      </c>
      <c r="L19">
        <f>SmtRes!DB27</f>
        <v>33.729999999999997</v>
      </c>
      <c r="M19">
        <f>ROUND(ROUND(L19*Source!I34, 6)*1, 2)</f>
        <v>281.98</v>
      </c>
      <c r="N19">
        <f>SmtRes!AA27</f>
        <v>33.729999999999997</v>
      </c>
      <c r="O19">
        <f>ROUND(ROUND(L19*Source!I34, 6)*SmtRes!DA27, 2)</f>
        <v>281.98</v>
      </c>
      <c r="P19">
        <f>SmtRes!AG27</f>
        <v>0</v>
      </c>
      <c r="Q19">
        <f>SmtRes!DC27</f>
        <v>0</v>
      </c>
      <c r="R19">
        <f>ROUND(ROUND(Q19*Source!I34, 6)*1, 2)</f>
        <v>0</v>
      </c>
      <c r="S19">
        <f>SmtRes!AC27</f>
        <v>0</v>
      </c>
      <c r="T19">
        <f>ROUND(ROUND(Q19*Source!I34, 6)*SmtRes!AK27, 2)</f>
        <v>0</v>
      </c>
      <c r="U19">
        <f>SmtRes!X27</f>
        <v>924487879</v>
      </c>
      <c r="V19">
        <v>254213091</v>
      </c>
      <c r="W19">
        <v>254213091</v>
      </c>
    </row>
    <row r="20" spans="1:23" x14ac:dyDescent="0.2">
      <c r="A20">
        <v>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5"/>
  <sheetViews>
    <sheetView workbookViewId="0"/>
  </sheetViews>
  <sheetFormatPr defaultRowHeight="12.75" x14ac:dyDescent="0.2"/>
  <cols>
    <col min="1" max="1" width="12.7109375" customWidth="1"/>
    <col min="2" max="2" width="40.7109375" customWidth="1"/>
    <col min="3" max="6" width="12.7109375" customWidth="1"/>
    <col min="15" max="15" width="103.7109375" hidden="1" customWidth="1"/>
    <col min="16" max="18" width="0" hidden="1" customWidth="1"/>
  </cols>
  <sheetData>
    <row r="2" spans="1:17" ht="16.5" x14ac:dyDescent="0.2">
      <c r="A2" s="65" t="s">
        <v>257</v>
      </c>
      <c r="B2" s="66"/>
      <c r="C2" s="66"/>
      <c r="D2" s="66"/>
      <c r="E2" s="66"/>
      <c r="F2" s="66"/>
    </row>
    <row r="3" spans="1:17" ht="33" x14ac:dyDescent="0.2">
      <c r="A3" s="65" t="str">
        <f>CONCATENATE("Объект: ",IF(Source!G66&lt;&gt;"Новый объект", Source!G66, ""))</f>
        <v>Объект: Изменение вертикальных отметок и устройство гидроизоляции по адресу: Краснохолмская наб., д.1_15</v>
      </c>
      <c r="B3" s="66"/>
      <c r="C3" s="66"/>
      <c r="D3" s="66"/>
      <c r="E3" s="66"/>
      <c r="F3" s="66"/>
      <c r="O3" s="67" t="s">
        <v>258</v>
      </c>
    </row>
    <row r="4" spans="1:17" x14ac:dyDescent="0.2">
      <c r="A4" s="21" t="s">
        <v>259</v>
      </c>
      <c r="B4" s="21" t="s">
        <v>260</v>
      </c>
      <c r="C4" s="21" t="s">
        <v>192</v>
      </c>
      <c r="D4" s="21" t="s">
        <v>261</v>
      </c>
      <c r="E4" s="69" t="s">
        <v>262</v>
      </c>
      <c r="F4" s="70"/>
    </row>
    <row r="5" spans="1:17" x14ac:dyDescent="0.2">
      <c r="A5" s="23"/>
      <c r="B5" s="23"/>
      <c r="C5" s="23"/>
      <c r="D5" s="23"/>
      <c r="E5" s="71"/>
      <c r="F5" s="72"/>
    </row>
    <row r="6" spans="1:17" ht="14.25" x14ac:dyDescent="0.2">
      <c r="A6" s="68"/>
      <c r="B6" s="68"/>
      <c r="C6" s="68"/>
      <c r="D6" s="68"/>
      <c r="E6" s="24" t="s">
        <v>263</v>
      </c>
      <c r="F6" s="24" t="s">
        <v>264</v>
      </c>
    </row>
    <row r="7" spans="1:17" ht="14.25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</row>
    <row r="8" spans="1:17" ht="14.25" x14ac:dyDescent="0.2">
      <c r="A8" s="73" t="s">
        <v>265</v>
      </c>
      <c r="B8" s="74"/>
      <c r="C8" s="74"/>
      <c r="D8" s="74"/>
      <c r="E8" s="74"/>
      <c r="F8" s="74"/>
    </row>
    <row r="9" spans="1:17" ht="28.5" x14ac:dyDescent="0.2">
      <c r="A9" s="75" t="s">
        <v>152</v>
      </c>
      <c r="B9" s="58" t="s">
        <v>154</v>
      </c>
      <c r="C9" s="58" t="s">
        <v>30</v>
      </c>
      <c r="D9" s="59">
        <f>ROUND(SUMIF(RV_DATA!W6:'RV_DATA'!W19, 602098204, RV_DATA!I6:'RV_DATA'!I19), 6)</f>
        <v>0.14399999999999999</v>
      </c>
      <c r="E9" s="76">
        <f>ROUND(RV_DATA!N13, 6)</f>
        <v>19810.5</v>
      </c>
      <c r="F9" s="76">
        <f>ROUND(SUMIF(RV_DATA!W6:'RV_DATA'!W19, 602098204, RV_DATA!O6:'RV_DATA'!O19), 6)</f>
        <v>2852.73</v>
      </c>
      <c r="Q9">
        <v>3</v>
      </c>
    </row>
    <row r="10" spans="1:17" ht="28.5" x14ac:dyDescent="0.2">
      <c r="A10" s="75" t="s">
        <v>155</v>
      </c>
      <c r="B10" s="58" t="s">
        <v>157</v>
      </c>
      <c r="C10" s="58" t="s">
        <v>30</v>
      </c>
      <c r="D10" s="59">
        <f>ROUND(SUMIF(RV_DATA!W6:'RV_DATA'!W19, -466973832, RV_DATA!I6:'RV_DATA'!I19), 6)</f>
        <v>2.56</v>
      </c>
      <c r="E10" s="76">
        <f>ROUND(RV_DATA!N12, 6)</f>
        <v>123041.56</v>
      </c>
      <c r="F10" s="76">
        <f>ROUND(SUMIF(RV_DATA!W6:'RV_DATA'!W19, -466973832, RV_DATA!O6:'RV_DATA'!O19), 6)</f>
        <v>314986.37</v>
      </c>
      <c r="Q10">
        <v>3</v>
      </c>
    </row>
    <row r="11" spans="1:17" ht="14.25" x14ac:dyDescent="0.2">
      <c r="A11" s="75" t="s">
        <v>158</v>
      </c>
      <c r="B11" s="58" t="s">
        <v>160</v>
      </c>
      <c r="C11" s="58" t="s">
        <v>161</v>
      </c>
      <c r="D11" s="59">
        <f>ROUND(SUMIF(RV_DATA!W6:'RV_DATA'!W19, 1565486064, RV_DATA!I6:'RV_DATA'!I19), 6)</f>
        <v>0.7</v>
      </c>
      <c r="E11" s="76">
        <f>ROUND(RV_DATA!N11, 6)</f>
        <v>29.63</v>
      </c>
      <c r="F11" s="76">
        <f>ROUND(SUMIF(RV_DATA!W6:'RV_DATA'!W19, 1565486064, RV_DATA!O6:'RV_DATA'!O19), 6)</f>
        <v>20.72</v>
      </c>
      <c r="Q11">
        <v>3</v>
      </c>
    </row>
    <row r="12" spans="1:17" ht="14.25" x14ac:dyDescent="0.2">
      <c r="A12" s="75" t="s">
        <v>172</v>
      </c>
      <c r="B12" s="58" t="s">
        <v>174</v>
      </c>
      <c r="C12" s="58" t="s">
        <v>147</v>
      </c>
      <c r="D12" s="59">
        <f>ROUND(SUMIF(RV_DATA!W6:'RV_DATA'!W19, 254213091, RV_DATA!I6:'RV_DATA'!I19), 6)</f>
        <v>8.36</v>
      </c>
      <c r="E12" s="76">
        <f>ROUND(RV_DATA!N19, 6)</f>
        <v>33.729999999999997</v>
      </c>
      <c r="F12" s="76">
        <f>ROUND(SUMIF(RV_DATA!W6:'RV_DATA'!W19, 254213091, RV_DATA!O6:'RV_DATA'!O19), 6)</f>
        <v>281.98</v>
      </c>
      <c r="Q12">
        <v>3</v>
      </c>
    </row>
    <row r="13" spans="1:17" ht="57" x14ac:dyDescent="0.2">
      <c r="A13" s="75" t="s">
        <v>165</v>
      </c>
      <c r="B13" s="58" t="s">
        <v>167</v>
      </c>
      <c r="C13" s="58" t="s">
        <v>168</v>
      </c>
      <c r="D13" s="59">
        <f>ROUND(SUMIF(RV_DATA!W6:'RV_DATA'!W19, -928135258, RV_DATA!I6:'RV_DATA'!I19), 6)</f>
        <v>460</v>
      </c>
      <c r="E13" s="76">
        <f>ROUND(RV_DATA!N15, 6)</f>
        <v>71.72</v>
      </c>
      <c r="F13" s="76">
        <f>ROUND(SUMIF(RV_DATA!W6:'RV_DATA'!W19, -928135258, RV_DATA!O6:'RV_DATA'!O19), 6)</f>
        <v>32991.199999999997</v>
      </c>
      <c r="Q13">
        <v>3</v>
      </c>
    </row>
    <row r="14" spans="1:17" ht="14.25" x14ac:dyDescent="0.2">
      <c r="A14" s="75" t="s">
        <v>162</v>
      </c>
      <c r="B14" s="58" t="s">
        <v>164</v>
      </c>
      <c r="C14" s="58" t="s">
        <v>30</v>
      </c>
      <c r="D14" s="59">
        <f>ROUND(SUMIF(RV_DATA!W6:'RV_DATA'!W19, -1996680702, RV_DATA!I6:'RV_DATA'!I19), 6)</f>
        <v>0.216</v>
      </c>
      <c r="E14" s="76">
        <f>ROUND(RV_DATA!N10, 6)</f>
        <v>77577.179999999993</v>
      </c>
      <c r="F14" s="76">
        <f>ROUND(SUMIF(RV_DATA!W6:'RV_DATA'!W19, -1996680702, RV_DATA!O6:'RV_DATA'!O19), 6)</f>
        <v>16756.650000000001</v>
      </c>
      <c r="Q14">
        <v>3</v>
      </c>
    </row>
    <row r="15" spans="1:17" ht="99.75" x14ac:dyDescent="0.2">
      <c r="A15" s="75" t="s">
        <v>44</v>
      </c>
      <c r="B15" s="58" t="s">
        <v>45</v>
      </c>
      <c r="C15" s="58" t="s">
        <v>30</v>
      </c>
      <c r="D15" s="59">
        <f>ROUND(SUMIF(RV_DATA!W6:'RV_DATA'!W19, 693054981, RV_DATA!I6:'RV_DATA'!I19), 6)</f>
        <v>119.904</v>
      </c>
      <c r="E15" s="76">
        <f>ROUND(RV_DATA!N7, 6)</f>
        <v>150.61000000000001</v>
      </c>
      <c r="F15" s="76">
        <f>ROUND(SUMIF(RV_DATA!W6:'RV_DATA'!W19, 693054981, RV_DATA!O6:'RV_DATA'!O19), 6)</f>
        <v>18058.740000000002</v>
      </c>
      <c r="Q15">
        <v>3</v>
      </c>
    </row>
    <row r="16" spans="1:17" ht="57" x14ac:dyDescent="0.2">
      <c r="A16" s="75" t="s">
        <v>144</v>
      </c>
      <c r="B16" s="58" t="s">
        <v>146</v>
      </c>
      <c r="C16" s="58" t="s">
        <v>147</v>
      </c>
      <c r="D16" s="59">
        <f>ROUND(SUMIF(RV_DATA!W6:'RV_DATA'!W19, -1275694715, RV_DATA!I6:'RV_DATA'!I19), 6)</f>
        <v>3.44</v>
      </c>
      <c r="E16" s="76">
        <f>ROUND(RV_DATA!N9, 6)</f>
        <v>3529.68</v>
      </c>
      <c r="F16" s="76">
        <f>ROUND(SUMIF(RV_DATA!W6:'RV_DATA'!W19, -1275694715, RV_DATA!O6:'RV_DATA'!O19), 6)</f>
        <v>12142.1</v>
      </c>
      <c r="Q16">
        <v>3</v>
      </c>
    </row>
    <row r="17" spans="1:17" ht="57" x14ac:dyDescent="0.2">
      <c r="A17" s="75" t="s">
        <v>175</v>
      </c>
      <c r="B17" s="58" t="s">
        <v>177</v>
      </c>
      <c r="C17" s="58" t="s">
        <v>30</v>
      </c>
      <c r="D17" s="59">
        <f>ROUND(SUMIF(RV_DATA!W6:'RV_DATA'!W19, -779812357, RV_DATA!I6:'RV_DATA'!I19), 6)</f>
        <v>83.6</v>
      </c>
      <c r="E17" s="76">
        <f>ROUND(RV_DATA!N18, 6)</f>
        <v>3130.47</v>
      </c>
      <c r="F17" s="76">
        <f>ROUND(SUMIF(RV_DATA!W6:'RV_DATA'!W19, -779812357, RV_DATA!O6:'RV_DATA'!O19), 6)</f>
        <v>261707.29</v>
      </c>
      <c r="Q17">
        <v>3</v>
      </c>
    </row>
    <row r="18" spans="1:17" ht="42.75" x14ac:dyDescent="0.2">
      <c r="A18" s="75" t="s">
        <v>148</v>
      </c>
      <c r="B18" s="58" t="s">
        <v>150</v>
      </c>
      <c r="C18" s="58" t="s">
        <v>151</v>
      </c>
      <c r="D18" s="59">
        <f>ROUND(SUMIF(RV_DATA!W6:'RV_DATA'!W19, -1678444639, RV_DATA!I6:'RV_DATA'!I19), 6)</f>
        <v>80</v>
      </c>
      <c r="E18" s="76">
        <f>ROUND(RV_DATA!N8, 6)</f>
        <v>5240.13</v>
      </c>
      <c r="F18" s="76">
        <f>ROUND(SUMIF(RV_DATA!W6:'RV_DATA'!W19, -1678444639, RV_DATA!O6:'RV_DATA'!O19), 6)</f>
        <v>419210.4</v>
      </c>
      <c r="Q18">
        <v>3</v>
      </c>
    </row>
    <row r="19" spans="1:17" ht="15" x14ac:dyDescent="0.25">
      <c r="A19" s="77" t="s">
        <v>266</v>
      </c>
      <c r="B19" s="77"/>
      <c r="C19" s="77"/>
      <c r="D19" s="77"/>
      <c r="E19" s="78">
        <f>SUMIF(Q9:Q18, 3, F9:F18)</f>
        <v>1079008.18</v>
      </c>
      <c r="F19" s="77"/>
    </row>
    <row r="21" spans="1:17" ht="33" x14ac:dyDescent="0.2">
      <c r="A21" s="79" t="str">
        <f>CONCATENATE("Итого по объекту: ",IF(Source!G66&lt;&gt;"Новый объект", Source!G66, ""))</f>
        <v>Итого по объекту: Изменение вертикальных отметок и устройство гидроизоляции по адресу: Краснохолмская наб., д.1_15</v>
      </c>
      <c r="B21" s="80"/>
      <c r="C21" s="80"/>
      <c r="D21" s="80"/>
      <c r="E21" s="80"/>
      <c r="F21" s="81"/>
      <c r="O21" s="67" t="s">
        <v>267</v>
      </c>
    </row>
    <row r="22" spans="1:17" ht="15" x14ac:dyDescent="0.25">
      <c r="A22" s="77" t="s">
        <v>266</v>
      </c>
      <c r="B22" s="77"/>
      <c r="C22" s="77"/>
      <c r="D22" s="77"/>
      <c r="E22" s="78">
        <f>SUMIF(Q1:Q21, 3, F1:F21)</f>
        <v>1079008.18</v>
      </c>
      <c r="F22" s="77"/>
    </row>
    <row r="23" spans="1:17" ht="14.25" hidden="1" customHeight="1" x14ac:dyDescent="0.25">
      <c r="A23" s="77" t="s">
        <v>268</v>
      </c>
      <c r="B23" s="77"/>
      <c r="C23" s="77"/>
      <c r="D23" s="77"/>
      <c r="E23" s="78">
        <f>SUMIF(Q1:Q22, 4, F1:F22)</f>
        <v>0</v>
      </c>
      <c r="F23" s="77"/>
    </row>
    <row r="24" spans="1:17" ht="14.25" hidden="1" customHeight="1" x14ac:dyDescent="0.25">
      <c r="A24" s="77" t="s">
        <v>269</v>
      </c>
      <c r="B24" s="77"/>
      <c r="C24" s="77"/>
      <c r="D24" s="77"/>
      <c r="E24" s="78">
        <f>SUMIF(Q1:Q23, 5, F1:F23)</f>
        <v>0</v>
      </c>
      <c r="F24" s="77"/>
    </row>
    <row r="25" spans="1:17" ht="14.25" hidden="1" customHeight="1" x14ac:dyDescent="0.25">
      <c r="A25" s="77" t="s">
        <v>270</v>
      </c>
      <c r="B25" s="77"/>
      <c r="C25" s="77"/>
      <c r="D25" s="77"/>
      <c r="E25" s="78">
        <f>SUMIF(Q1:Q24, 6, F1:F24)</f>
        <v>0</v>
      </c>
      <c r="F25" s="77"/>
    </row>
  </sheetData>
  <sortState ref="A9:Q18">
    <sortCondition ref="A9"/>
  </sortState>
  <mergeCells count="19">
    <mergeCell ref="A23:D23"/>
    <mergeCell ref="E23:F23"/>
    <mergeCell ref="A24:D24"/>
    <mergeCell ref="E24:F24"/>
    <mergeCell ref="A25:D25"/>
    <mergeCell ref="E25:F25"/>
    <mergeCell ref="A8:F8"/>
    <mergeCell ref="A19:D19"/>
    <mergeCell ref="E19:F19"/>
    <mergeCell ref="A21:F21"/>
    <mergeCell ref="A22:D22"/>
    <mergeCell ref="E22:F22"/>
    <mergeCell ref="A2:F2"/>
    <mergeCell ref="A3:F3"/>
    <mergeCell ref="A4:A6"/>
    <mergeCell ref="B4:B6"/>
    <mergeCell ref="C4:C6"/>
    <mergeCell ref="D4:D6"/>
    <mergeCell ref="E4:F5"/>
  </mergeCells>
  <pageMargins left="0.6" right="0.4" top="0.65" bottom="0.4" header="0.4" footer="0.4"/>
  <pageSetup paperSize="9" scale="90" fitToHeight="0" orientation="portrait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06"/>
  <sheetViews>
    <sheetView workbookViewId="0">
      <selection activeCell="A102" sqref="A102:O102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20004</v>
      </c>
      <c r="M1">
        <v>10</v>
      </c>
      <c r="N1">
        <v>11</v>
      </c>
      <c r="O1">
        <v>0</v>
      </c>
      <c r="P1">
        <v>0</v>
      </c>
      <c r="Q1">
        <v>6</v>
      </c>
    </row>
    <row r="12" spans="1:133" x14ac:dyDescent="0.2">
      <c r="A12" s="1">
        <v>1</v>
      </c>
      <c r="B12" s="1">
        <v>102</v>
      </c>
      <c r="C12" s="1">
        <v>0</v>
      </c>
      <c r="D12" s="1">
        <f>ROW(A66)</f>
        <v>66</v>
      </c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78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10</v>
      </c>
      <c r="CB12" s="1" t="s">
        <v>10</v>
      </c>
      <c r="CC12" s="1" t="s">
        <v>10</v>
      </c>
      <c r="CD12" s="1" t="s">
        <v>10</v>
      </c>
      <c r="CE12" s="1" t="s">
        <v>11</v>
      </c>
      <c r="CF12" s="1">
        <v>0</v>
      </c>
      <c r="CG12" s="1">
        <v>0</v>
      </c>
      <c r="CH12" s="1">
        <v>16777224</v>
      </c>
      <c r="CI12" s="1" t="s">
        <v>3</v>
      </c>
      <c r="CJ12" s="1" t="s">
        <v>3</v>
      </c>
      <c r="CK12" s="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B66</f>
        <v>102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1</v>
      </c>
      <c r="G18" s="2" t="str">
        <f t="shared" si="0"/>
        <v>Изменение вертикальных отметок и устройство гидроизоляции по адресу: Краснохолмская наб., д.1_15</v>
      </c>
      <c r="H18" s="2"/>
      <c r="I18" s="2"/>
      <c r="J18" s="2"/>
      <c r="K18" s="2"/>
      <c r="L18" s="2"/>
      <c r="M18" s="2"/>
      <c r="N18" s="2"/>
      <c r="O18" s="2">
        <f t="shared" ref="O18:AT18" si="1">O66</f>
        <v>2253055.52</v>
      </c>
      <c r="P18" s="2">
        <f t="shared" si="1"/>
        <v>1079008.25</v>
      </c>
      <c r="Q18" s="2">
        <f t="shared" si="1"/>
        <v>150579.16</v>
      </c>
      <c r="R18" s="2">
        <f t="shared" si="1"/>
        <v>74489.13</v>
      </c>
      <c r="S18" s="2">
        <f t="shared" si="1"/>
        <v>1023468.11</v>
      </c>
      <c r="T18" s="2">
        <f t="shared" si="1"/>
        <v>0</v>
      </c>
      <c r="U18" s="2">
        <f t="shared" si="1"/>
        <v>4425.0309999999999</v>
      </c>
      <c r="V18" s="2">
        <f t="shared" si="1"/>
        <v>0</v>
      </c>
      <c r="W18" s="2">
        <f t="shared" si="1"/>
        <v>0</v>
      </c>
      <c r="X18" s="2">
        <f t="shared" si="1"/>
        <v>716427.67</v>
      </c>
      <c r="Y18" s="2">
        <f t="shared" si="1"/>
        <v>0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2981471.21</v>
      </c>
      <c r="AS18" s="2">
        <f t="shared" si="1"/>
        <v>0</v>
      </c>
      <c r="AT18" s="2">
        <f t="shared" si="1"/>
        <v>0</v>
      </c>
      <c r="AU18" s="2">
        <f t="shared" ref="AU18:BZ18" si="2">AU66</f>
        <v>2981471.21</v>
      </c>
      <c r="AV18" s="2">
        <f t="shared" si="2"/>
        <v>1079008.25</v>
      </c>
      <c r="AW18" s="2">
        <f t="shared" si="2"/>
        <v>1079008.25</v>
      </c>
      <c r="AX18" s="2">
        <f t="shared" si="2"/>
        <v>0</v>
      </c>
      <c r="AY18" s="2">
        <f t="shared" si="2"/>
        <v>1079008.25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CA66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DG66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EM66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FS66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ROW(A36)</f>
        <v>36</v>
      </c>
      <c r="E20" s="1"/>
      <c r="F20" s="1" t="s">
        <v>12</v>
      </c>
      <c r="G20" s="1" t="s">
        <v>12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  <c r="CK20" t="s">
        <v>3</v>
      </c>
      <c r="CL20" t="s">
        <v>3</v>
      </c>
      <c r="CM20" t="s">
        <v>3</v>
      </c>
      <c r="CN20" t="s">
        <v>3</v>
      </c>
      <c r="CO20" t="s">
        <v>3</v>
      </c>
      <c r="CP20" t="s">
        <v>3</v>
      </c>
    </row>
    <row r="22" spans="1:245" x14ac:dyDescent="0.2">
      <c r="A22" s="2">
        <v>52</v>
      </c>
      <c r="B22" s="2">
        <f t="shared" ref="B22:G22" si="7">B36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Новая локальная смета</v>
      </c>
      <c r="H22" s="2"/>
      <c r="I22" s="2"/>
      <c r="J22" s="2"/>
      <c r="K22" s="2"/>
      <c r="L22" s="2"/>
      <c r="M22" s="2"/>
      <c r="N22" s="2"/>
      <c r="O22" s="2">
        <f t="shared" ref="O22:AT22" si="8">O36</f>
        <v>2253055.52</v>
      </c>
      <c r="P22" s="2">
        <f t="shared" si="8"/>
        <v>1079008.25</v>
      </c>
      <c r="Q22" s="2">
        <f t="shared" si="8"/>
        <v>150579.16</v>
      </c>
      <c r="R22" s="2">
        <f t="shared" si="8"/>
        <v>74489.13</v>
      </c>
      <c r="S22" s="2">
        <f t="shared" si="8"/>
        <v>1023468.11</v>
      </c>
      <c r="T22" s="2">
        <f t="shared" si="8"/>
        <v>0</v>
      </c>
      <c r="U22" s="2">
        <f t="shared" si="8"/>
        <v>4425.0309999999999</v>
      </c>
      <c r="V22" s="2">
        <f t="shared" si="8"/>
        <v>0</v>
      </c>
      <c r="W22" s="2">
        <f t="shared" si="8"/>
        <v>0</v>
      </c>
      <c r="X22" s="2">
        <f t="shared" si="8"/>
        <v>716427.67</v>
      </c>
      <c r="Y22" s="2">
        <f t="shared" si="8"/>
        <v>0</v>
      </c>
      <c r="Z22" s="2">
        <f t="shared" si="8"/>
        <v>0</v>
      </c>
      <c r="AA22" s="2">
        <f t="shared" si="8"/>
        <v>0</v>
      </c>
      <c r="AB22" s="2">
        <f t="shared" si="8"/>
        <v>2253055.52</v>
      </c>
      <c r="AC22" s="2">
        <f t="shared" si="8"/>
        <v>1079008.25</v>
      </c>
      <c r="AD22" s="2">
        <f t="shared" si="8"/>
        <v>150579.16</v>
      </c>
      <c r="AE22" s="2">
        <f t="shared" si="8"/>
        <v>74489.13</v>
      </c>
      <c r="AF22" s="2">
        <f t="shared" si="8"/>
        <v>1023468.11</v>
      </c>
      <c r="AG22" s="2">
        <f t="shared" si="8"/>
        <v>0</v>
      </c>
      <c r="AH22" s="2">
        <f t="shared" si="8"/>
        <v>4425.0309999999999</v>
      </c>
      <c r="AI22" s="2">
        <f t="shared" si="8"/>
        <v>0</v>
      </c>
      <c r="AJ22" s="2">
        <f t="shared" si="8"/>
        <v>0</v>
      </c>
      <c r="AK22" s="2">
        <f t="shared" si="8"/>
        <v>716427.67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2981471.21</v>
      </c>
      <c r="AS22" s="2">
        <f t="shared" si="8"/>
        <v>0</v>
      </c>
      <c r="AT22" s="2">
        <f t="shared" si="8"/>
        <v>0</v>
      </c>
      <c r="AU22" s="2">
        <f t="shared" ref="AU22:BZ22" si="9">AU36</f>
        <v>2981471.21</v>
      </c>
      <c r="AV22" s="2">
        <f t="shared" si="9"/>
        <v>1079008.25</v>
      </c>
      <c r="AW22" s="2">
        <f t="shared" si="9"/>
        <v>1079008.25</v>
      </c>
      <c r="AX22" s="2">
        <f t="shared" si="9"/>
        <v>0</v>
      </c>
      <c r="AY22" s="2">
        <f t="shared" si="9"/>
        <v>1079008.25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CA36</f>
        <v>2981471.21</v>
      </c>
      <c r="CB22" s="2">
        <f t="shared" si="10"/>
        <v>0</v>
      </c>
      <c r="CC22" s="2">
        <f t="shared" si="10"/>
        <v>0</v>
      </c>
      <c r="CD22" s="2">
        <f t="shared" si="10"/>
        <v>2981471.21</v>
      </c>
      <c r="CE22" s="2">
        <f t="shared" si="10"/>
        <v>1079008.25</v>
      </c>
      <c r="CF22" s="2">
        <f t="shared" si="10"/>
        <v>1079008.25</v>
      </c>
      <c r="CG22" s="2">
        <f t="shared" si="10"/>
        <v>0</v>
      </c>
      <c r="CH22" s="2">
        <f t="shared" si="10"/>
        <v>1079008.25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DG36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EM36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FS36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>
        <v>17</v>
      </c>
      <c r="B24">
        <v>1</v>
      </c>
      <c r="E24" t="s">
        <v>3</v>
      </c>
      <c r="F24" t="s">
        <v>3</v>
      </c>
      <c r="G24" t="s">
        <v>3</v>
      </c>
      <c r="H24" t="s">
        <v>3</v>
      </c>
      <c r="I24">
        <v>836</v>
      </c>
      <c r="J24">
        <v>0</v>
      </c>
      <c r="O24">
        <f t="shared" ref="O24:O34" si="14">ROUND(CP24,2)</f>
        <v>0</v>
      </c>
      <c r="P24">
        <f t="shared" ref="P24:P34" si="15">ROUND(CQ24*I24,2)</f>
        <v>0</v>
      </c>
      <c r="Q24">
        <f t="shared" ref="Q24:Q34" si="16">ROUND(CR24*I24,2)</f>
        <v>0</v>
      </c>
      <c r="R24">
        <f t="shared" ref="R24:R34" si="17">ROUND(CS24*I24,2)</f>
        <v>0</v>
      </c>
      <c r="S24">
        <f t="shared" ref="S24:S34" si="18">ROUND(CT24*I24,2)</f>
        <v>0</v>
      </c>
      <c r="T24">
        <f t="shared" ref="T24:T34" si="19">ROUND(CU24*I24,2)</f>
        <v>0</v>
      </c>
      <c r="U24">
        <f t="shared" ref="U24:U34" si="20">CV24*I24</f>
        <v>0</v>
      </c>
      <c r="V24">
        <f t="shared" ref="V24:V34" si="21">CW24*I24</f>
        <v>0</v>
      </c>
      <c r="W24">
        <f t="shared" ref="W24:W34" si="22">ROUND(CX24*I24,2)</f>
        <v>0</v>
      </c>
      <c r="X24">
        <f t="shared" ref="X24:X34" si="23">ROUND(CY24,2)</f>
        <v>0</v>
      </c>
      <c r="Y24">
        <f t="shared" ref="Y24:Y34" si="24">ROUND(CZ24,2)</f>
        <v>0</v>
      </c>
      <c r="AA24">
        <v>-1</v>
      </c>
      <c r="AB24">
        <f t="shared" ref="AB24:AB34" si="25">ROUND((AC24+AD24+AF24),6)</f>
        <v>0</v>
      </c>
      <c r="AC24">
        <f>ROUND((ES24),6)</f>
        <v>0</v>
      </c>
      <c r="AD24">
        <f>ROUND((((ET24)-(EU24))+AE24),6)</f>
        <v>0</v>
      </c>
      <c r="AE24">
        <f t="shared" ref="AE24:AF28" si="26">ROUND((EU24),6)</f>
        <v>0</v>
      </c>
      <c r="AF24">
        <f t="shared" si="26"/>
        <v>0</v>
      </c>
      <c r="AG24">
        <f t="shared" ref="AG24:AG34" si="27">ROUND((AP24),6)</f>
        <v>0</v>
      </c>
      <c r="AH24">
        <f t="shared" ref="AH24:AI28" si="28">(EW24)</f>
        <v>0</v>
      </c>
      <c r="AI24">
        <f t="shared" si="28"/>
        <v>0</v>
      </c>
      <c r="AJ24">
        <f t="shared" ref="AJ24:AJ34" si="29">(AS24)</f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1</v>
      </c>
      <c r="AW24">
        <v>1</v>
      </c>
      <c r="AZ24">
        <v>1</v>
      </c>
      <c r="BA24">
        <v>1</v>
      </c>
      <c r="BB24">
        <v>1</v>
      </c>
      <c r="BC24">
        <v>1</v>
      </c>
      <c r="BD24" t="s">
        <v>3</v>
      </c>
      <c r="BE24" t="s">
        <v>3</v>
      </c>
      <c r="BF24" t="s">
        <v>3</v>
      </c>
      <c r="BG24" t="s">
        <v>3</v>
      </c>
      <c r="BH24">
        <v>3</v>
      </c>
      <c r="BI24">
        <v>1</v>
      </c>
      <c r="BJ24" t="s">
        <v>3</v>
      </c>
      <c r="BM24">
        <v>6001</v>
      </c>
      <c r="BN24">
        <v>0</v>
      </c>
      <c r="BO24" t="s">
        <v>3</v>
      </c>
      <c r="BP24">
        <v>0</v>
      </c>
      <c r="BQ24">
        <v>0</v>
      </c>
      <c r="BR24">
        <v>0</v>
      </c>
      <c r="BS24">
        <v>1</v>
      </c>
      <c r="BT24">
        <v>1</v>
      </c>
      <c r="BU24">
        <v>1</v>
      </c>
      <c r="BV24">
        <v>1</v>
      </c>
      <c r="BW24">
        <v>1</v>
      </c>
      <c r="BX24">
        <v>1</v>
      </c>
      <c r="BY24" t="s">
        <v>3</v>
      </c>
      <c r="BZ24">
        <v>0</v>
      </c>
      <c r="CA24">
        <v>0</v>
      </c>
      <c r="CE24">
        <v>0</v>
      </c>
      <c r="CF24">
        <v>0</v>
      </c>
      <c r="CG24">
        <v>0</v>
      </c>
      <c r="CM24">
        <v>0</v>
      </c>
      <c r="CN24" t="s">
        <v>3</v>
      </c>
      <c r="CO24">
        <v>0</v>
      </c>
      <c r="CP24">
        <f t="shared" ref="CP24:CP34" si="30">(P24+Q24+S24)</f>
        <v>0</v>
      </c>
      <c r="CQ24">
        <f t="shared" ref="CQ24:CQ34" si="31">(AC24*BC24*AW24)</f>
        <v>0</v>
      </c>
      <c r="CR24">
        <f>((((ET24)*BB24-(EU24)*BS24)+AE24*BS24)*AV24)</f>
        <v>0</v>
      </c>
      <c r="CS24">
        <f t="shared" ref="CS24:CS34" si="32">(AE24*BS24*AV24)</f>
        <v>0</v>
      </c>
      <c r="CT24">
        <f t="shared" ref="CT24:CT34" si="33">(AF24*BA24*AV24)</f>
        <v>0</v>
      </c>
      <c r="CU24">
        <f t="shared" ref="CU24:CU34" si="34">AG24</f>
        <v>0</v>
      </c>
      <c r="CV24">
        <f t="shared" ref="CV24:CV34" si="35">(AH24*AV24)</f>
        <v>0</v>
      </c>
      <c r="CW24">
        <f t="shared" ref="CW24:CW34" si="36">AI24</f>
        <v>0</v>
      </c>
      <c r="CX24">
        <f t="shared" ref="CX24:CX34" si="37">AJ24</f>
        <v>0</v>
      </c>
      <c r="CY24">
        <f t="shared" ref="CY24:CY34" si="38">((S24*BZ24)/100)</f>
        <v>0</v>
      </c>
      <c r="CZ24">
        <f t="shared" ref="CZ24:CZ34" si="39">((S24*CA24)/100)</f>
        <v>0</v>
      </c>
      <c r="DC24" t="s">
        <v>3</v>
      </c>
      <c r="DD24" t="s">
        <v>3</v>
      </c>
      <c r="DE24" t="s">
        <v>3</v>
      </c>
      <c r="DF24" t="s">
        <v>3</v>
      </c>
      <c r="DG24" t="s">
        <v>3</v>
      </c>
      <c r="DH24" t="s">
        <v>3</v>
      </c>
      <c r="DI24" t="s">
        <v>3</v>
      </c>
      <c r="DJ24" t="s">
        <v>3</v>
      </c>
      <c r="DK24" t="s">
        <v>3</v>
      </c>
      <c r="DL24" t="s">
        <v>3</v>
      </c>
      <c r="DM24" t="s">
        <v>3</v>
      </c>
      <c r="DN24">
        <v>0</v>
      </c>
      <c r="DO24">
        <v>0</v>
      </c>
      <c r="DP24">
        <v>1</v>
      </c>
      <c r="DQ24">
        <v>1</v>
      </c>
      <c r="EE24">
        <v>46552419</v>
      </c>
      <c r="EF24">
        <v>0</v>
      </c>
      <c r="EG24" t="s">
        <v>13</v>
      </c>
      <c r="EH24">
        <v>0</v>
      </c>
      <c r="EI24" t="s">
        <v>3</v>
      </c>
      <c r="EJ24">
        <v>1</v>
      </c>
      <c r="EK24">
        <v>6001</v>
      </c>
      <c r="EL24" t="s">
        <v>14</v>
      </c>
      <c r="EM24" t="s">
        <v>13</v>
      </c>
      <c r="EO24" t="s">
        <v>3</v>
      </c>
      <c r="EQ24">
        <v>1024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FQ24">
        <v>0</v>
      </c>
      <c r="FR24">
        <f t="shared" ref="FR24:FR34" si="40">ROUND(IF(AND(BH24=3,BI24=3),P24,0),2)</f>
        <v>0</v>
      </c>
      <c r="FS24">
        <v>0</v>
      </c>
      <c r="FX24">
        <v>0</v>
      </c>
      <c r="FY24">
        <v>0</v>
      </c>
      <c r="GA24" t="s">
        <v>3</v>
      </c>
      <c r="GD24">
        <v>0</v>
      </c>
      <c r="GF24">
        <v>1218112172</v>
      </c>
      <c r="GG24">
        <v>2</v>
      </c>
      <c r="GH24">
        <v>0</v>
      </c>
      <c r="GI24">
        <v>-2</v>
      </c>
      <c r="GJ24">
        <v>0</v>
      </c>
      <c r="GK24">
        <f>ROUND(R24*(R12)/100,2)</f>
        <v>0</v>
      </c>
      <c r="GL24">
        <f t="shared" ref="GL24:GL34" si="41">ROUND(IF(AND(BH24=3,BI24=3,FS24&lt;&gt;0),P24,0),2)</f>
        <v>0</v>
      </c>
      <c r="GM24">
        <f>ROUND(O24+X24+Y24+GK24,2)+GX24</f>
        <v>0</v>
      </c>
      <c r="GN24">
        <f>IF(OR(BI24=0,BI24=1),ROUND(O24+X24+Y24+GK24,2),0)</f>
        <v>0</v>
      </c>
      <c r="GO24">
        <f>IF(BI24=2,ROUND(O24+X24+Y24+GK24,2),0)</f>
        <v>0</v>
      </c>
      <c r="GP24">
        <f>IF(BI24=4,ROUND(O24+X24+Y24+GK24,2)+GX24,0)</f>
        <v>0</v>
      </c>
      <c r="GR24">
        <v>0</v>
      </c>
      <c r="GS24">
        <v>3</v>
      </c>
      <c r="GT24">
        <v>0</v>
      </c>
      <c r="GU24" t="s">
        <v>3</v>
      </c>
      <c r="GV24">
        <f>ROUND((GT24),6)</f>
        <v>0</v>
      </c>
      <c r="GW24">
        <v>1</v>
      </c>
      <c r="GX24">
        <f t="shared" ref="GX24:GX34" si="42">ROUND(HC24*I24,2)</f>
        <v>0</v>
      </c>
      <c r="HA24">
        <v>0</v>
      </c>
      <c r="HB24">
        <v>0</v>
      </c>
      <c r="HC24">
        <f t="shared" ref="HC24:HC34" si="43">GV24*GW24</f>
        <v>0</v>
      </c>
      <c r="IK24">
        <v>0</v>
      </c>
    </row>
    <row r="25" spans="1:245" x14ac:dyDescent="0.2">
      <c r="A25">
        <v>17</v>
      </c>
      <c r="B25">
        <v>1</v>
      </c>
      <c r="C25">
        <f>ROW(SmtRes!A1)</f>
        <v>1</v>
      </c>
      <c r="D25">
        <f>ROW(EtalonRes!A1)</f>
        <v>1</v>
      </c>
      <c r="E25" t="s">
        <v>4</v>
      </c>
      <c r="F25" t="s">
        <v>15</v>
      </c>
      <c r="G25" t="s">
        <v>16</v>
      </c>
      <c r="H25" t="s">
        <v>17</v>
      </c>
      <c r="I25">
        <f>ROUND(I24/100,9)</f>
        <v>8.36</v>
      </c>
      <c r="J25">
        <v>0</v>
      </c>
      <c r="O25">
        <f t="shared" si="14"/>
        <v>24313.3</v>
      </c>
      <c r="P25">
        <f t="shared" si="15"/>
        <v>0</v>
      </c>
      <c r="Q25">
        <f t="shared" si="16"/>
        <v>0</v>
      </c>
      <c r="R25">
        <f t="shared" si="17"/>
        <v>0</v>
      </c>
      <c r="S25">
        <f t="shared" si="18"/>
        <v>24313.3</v>
      </c>
      <c r="T25">
        <f t="shared" si="19"/>
        <v>0</v>
      </c>
      <c r="U25">
        <f t="shared" si="20"/>
        <v>156.16479999999999</v>
      </c>
      <c r="V25">
        <f t="shared" si="21"/>
        <v>0</v>
      </c>
      <c r="W25">
        <f t="shared" si="22"/>
        <v>0</v>
      </c>
      <c r="X25">
        <f t="shared" si="23"/>
        <v>17019.310000000001</v>
      </c>
      <c r="Y25">
        <f t="shared" si="24"/>
        <v>0</v>
      </c>
      <c r="AA25">
        <v>46983916</v>
      </c>
      <c r="AB25">
        <f t="shared" si="25"/>
        <v>2908.29</v>
      </c>
      <c r="AC25">
        <f>ROUND((ES25),6)</f>
        <v>0</v>
      </c>
      <c r="AD25">
        <f>ROUND((((ET25)-(EU25))+AE25),6)</f>
        <v>0</v>
      </c>
      <c r="AE25">
        <f t="shared" si="26"/>
        <v>0</v>
      </c>
      <c r="AF25">
        <f t="shared" si="26"/>
        <v>2908.29</v>
      </c>
      <c r="AG25">
        <f t="shared" si="27"/>
        <v>0</v>
      </c>
      <c r="AH25">
        <f t="shared" si="28"/>
        <v>18.68</v>
      </c>
      <c r="AI25">
        <f t="shared" si="28"/>
        <v>0</v>
      </c>
      <c r="AJ25">
        <f t="shared" si="29"/>
        <v>0</v>
      </c>
      <c r="AK25">
        <v>2908.29</v>
      </c>
      <c r="AL25">
        <v>0</v>
      </c>
      <c r="AM25">
        <v>0</v>
      </c>
      <c r="AN25">
        <v>0</v>
      </c>
      <c r="AO25">
        <v>2908.29</v>
      </c>
      <c r="AP25">
        <v>0</v>
      </c>
      <c r="AQ25">
        <v>18.68</v>
      </c>
      <c r="AR25">
        <v>0</v>
      </c>
      <c r="AS25">
        <v>0</v>
      </c>
      <c r="AT25">
        <v>70</v>
      </c>
      <c r="AU25">
        <v>0</v>
      </c>
      <c r="AV25">
        <v>1</v>
      </c>
      <c r="AW25">
        <v>1</v>
      </c>
      <c r="AZ25">
        <v>1</v>
      </c>
      <c r="BA25">
        <v>1</v>
      </c>
      <c r="BB25">
        <v>1</v>
      </c>
      <c r="BC25">
        <v>1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4</v>
      </c>
      <c r="BJ25" t="s">
        <v>18</v>
      </c>
      <c r="BM25">
        <v>0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v>1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70</v>
      </c>
      <c r="CA25">
        <v>0</v>
      </c>
      <c r="CE25">
        <v>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0"/>
        <v>24313.3</v>
      </c>
      <c r="CQ25">
        <f t="shared" si="31"/>
        <v>0</v>
      </c>
      <c r="CR25">
        <f>((((ET25)*BB25-(EU25)*BS25)+AE25*BS25)*AV25)</f>
        <v>0</v>
      </c>
      <c r="CS25">
        <f t="shared" si="32"/>
        <v>0</v>
      </c>
      <c r="CT25">
        <f t="shared" si="33"/>
        <v>2908.29</v>
      </c>
      <c r="CU25">
        <f t="shared" si="34"/>
        <v>0</v>
      </c>
      <c r="CV25">
        <f t="shared" si="35"/>
        <v>18.68</v>
      </c>
      <c r="CW25">
        <f t="shared" si="36"/>
        <v>0</v>
      </c>
      <c r="CX25">
        <f t="shared" si="37"/>
        <v>0</v>
      </c>
      <c r="CY25">
        <f t="shared" si="38"/>
        <v>17019.310000000001</v>
      </c>
      <c r="CZ25">
        <f t="shared" si="39"/>
        <v>0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1005</v>
      </c>
      <c r="DV25" t="s">
        <v>17</v>
      </c>
      <c r="DW25" t="s">
        <v>17</v>
      </c>
      <c r="DX25">
        <v>100</v>
      </c>
      <c r="EE25">
        <v>46228058</v>
      </c>
      <c r="EF25">
        <v>1</v>
      </c>
      <c r="EG25" t="s">
        <v>19</v>
      </c>
      <c r="EH25">
        <v>0</v>
      </c>
      <c r="EI25" t="s">
        <v>3</v>
      </c>
      <c r="EJ25">
        <v>4</v>
      </c>
      <c r="EK25">
        <v>0</v>
      </c>
      <c r="EL25" t="s">
        <v>20</v>
      </c>
      <c r="EM25" t="s">
        <v>21</v>
      </c>
      <c r="EO25" t="s">
        <v>3</v>
      </c>
      <c r="EQ25">
        <v>0</v>
      </c>
      <c r="ER25">
        <v>2908.29</v>
      </c>
      <c r="ES25">
        <v>0</v>
      </c>
      <c r="ET25">
        <v>0</v>
      </c>
      <c r="EU25">
        <v>0</v>
      </c>
      <c r="EV25">
        <v>2908.29</v>
      </c>
      <c r="EW25">
        <v>18.68</v>
      </c>
      <c r="EX25">
        <v>0</v>
      </c>
      <c r="EY25">
        <v>0</v>
      </c>
      <c r="FQ25">
        <v>0</v>
      </c>
      <c r="FR25">
        <f t="shared" si="40"/>
        <v>0</v>
      </c>
      <c r="FS25">
        <v>0</v>
      </c>
      <c r="FX25">
        <v>70</v>
      </c>
      <c r="FY25">
        <v>0</v>
      </c>
      <c r="GA25" t="s">
        <v>3</v>
      </c>
      <c r="GD25">
        <v>0</v>
      </c>
      <c r="GF25">
        <v>-1560652598</v>
      </c>
      <c r="GG25">
        <v>2</v>
      </c>
      <c r="GH25">
        <v>1</v>
      </c>
      <c r="GI25">
        <v>-2</v>
      </c>
      <c r="GJ25">
        <v>0</v>
      </c>
      <c r="GK25">
        <f>ROUND(R25*(R12)/100,2)</f>
        <v>0</v>
      </c>
      <c r="GL25">
        <f t="shared" si="41"/>
        <v>0</v>
      </c>
      <c r="GM25">
        <f>ROUND(O25+X25+Y25+GK25,2)+GX25</f>
        <v>41332.61</v>
      </c>
      <c r="GN25">
        <f>IF(OR(BI25=0,BI25=1),ROUND(O25+X25+Y25+GK25,2),0)</f>
        <v>0</v>
      </c>
      <c r="GO25">
        <f>IF(BI25=2,ROUND(O25+X25+Y25+GK25,2),0)</f>
        <v>0</v>
      </c>
      <c r="GP25">
        <f>IF(BI25=4,ROUND(O25+X25+Y25+GK25,2)+GX25,0)</f>
        <v>41332.61</v>
      </c>
      <c r="GR25">
        <v>0</v>
      </c>
      <c r="GS25">
        <v>3</v>
      </c>
      <c r="GT25">
        <v>0</v>
      </c>
      <c r="GU25" t="s">
        <v>3</v>
      </c>
      <c r="GV25">
        <f>ROUND((GT25),6)</f>
        <v>0</v>
      </c>
      <c r="GW25">
        <v>1</v>
      </c>
      <c r="GX25">
        <f t="shared" si="42"/>
        <v>0</v>
      </c>
      <c r="HA25">
        <v>0</v>
      </c>
      <c r="HB25">
        <v>0</v>
      </c>
      <c r="HC25">
        <f t="shared" si="43"/>
        <v>0</v>
      </c>
      <c r="IK25">
        <v>0</v>
      </c>
    </row>
    <row r="26" spans="1:245" x14ac:dyDescent="0.2">
      <c r="A26">
        <v>17</v>
      </c>
      <c r="B26">
        <v>1</v>
      </c>
      <c r="C26">
        <f>ROW(SmtRes!A4)</f>
        <v>4</v>
      </c>
      <c r="D26">
        <f>ROW(EtalonRes!A4)</f>
        <v>4</v>
      </c>
      <c r="E26" t="s">
        <v>22</v>
      </c>
      <c r="F26" t="s">
        <v>23</v>
      </c>
      <c r="G26" t="s">
        <v>24</v>
      </c>
      <c r="H26" t="s">
        <v>25</v>
      </c>
      <c r="I26">
        <f>ROUND((I24*0.05)/100+I31*(0.043+0.059),9)</f>
        <v>0.49959999999999999</v>
      </c>
      <c r="J26">
        <v>0</v>
      </c>
      <c r="O26">
        <f t="shared" si="14"/>
        <v>12826.26</v>
      </c>
      <c r="P26">
        <f t="shared" si="15"/>
        <v>0</v>
      </c>
      <c r="Q26">
        <f t="shared" si="16"/>
        <v>7025.29</v>
      </c>
      <c r="R26">
        <f t="shared" si="17"/>
        <v>2288.77</v>
      </c>
      <c r="S26">
        <f t="shared" si="18"/>
        <v>5800.97</v>
      </c>
      <c r="T26">
        <f t="shared" si="19"/>
        <v>0</v>
      </c>
      <c r="U26">
        <f t="shared" si="20"/>
        <v>24.7302</v>
      </c>
      <c r="V26">
        <f t="shared" si="21"/>
        <v>0</v>
      </c>
      <c r="W26">
        <f t="shared" si="22"/>
        <v>0</v>
      </c>
      <c r="X26">
        <f t="shared" si="23"/>
        <v>4060.68</v>
      </c>
      <c r="Y26">
        <f t="shared" si="24"/>
        <v>0</v>
      </c>
      <c r="AA26">
        <v>46983916</v>
      </c>
      <c r="AB26">
        <f t="shared" si="25"/>
        <v>25673.05</v>
      </c>
      <c r="AC26">
        <f>ROUND((ES26),6)</f>
        <v>0</v>
      </c>
      <c r="AD26">
        <f>ROUND((((ET26)-(EU26))+AE26),6)</f>
        <v>14061.83</v>
      </c>
      <c r="AE26">
        <f t="shared" si="26"/>
        <v>4581.2</v>
      </c>
      <c r="AF26">
        <f t="shared" si="26"/>
        <v>11611.22</v>
      </c>
      <c r="AG26">
        <f t="shared" si="27"/>
        <v>0</v>
      </c>
      <c r="AH26">
        <f t="shared" si="28"/>
        <v>49.5</v>
      </c>
      <c r="AI26">
        <f t="shared" si="28"/>
        <v>0</v>
      </c>
      <c r="AJ26">
        <f t="shared" si="29"/>
        <v>0</v>
      </c>
      <c r="AK26">
        <v>25673.05</v>
      </c>
      <c r="AL26">
        <v>0</v>
      </c>
      <c r="AM26">
        <v>14061.83</v>
      </c>
      <c r="AN26">
        <v>4581.2</v>
      </c>
      <c r="AO26">
        <v>11611.22</v>
      </c>
      <c r="AP26">
        <v>0</v>
      </c>
      <c r="AQ26">
        <v>49.5</v>
      </c>
      <c r="AR26">
        <v>0</v>
      </c>
      <c r="AS26">
        <v>0</v>
      </c>
      <c r="AT26">
        <v>70</v>
      </c>
      <c r="AU26">
        <v>0</v>
      </c>
      <c r="AV26">
        <v>1</v>
      </c>
      <c r="AW26">
        <v>1</v>
      </c>
      <c r="AZ26">
        <v>1</v>
      </c>
      <c r="BA26">
        <v>1</v>
      </c>
      <c r="BB26">
        <v>1</v>
      </c>
      <c r="BC26">
        <v>1</v>
      </c>
      <c r="BD26" t="s">
        <v>3</v>
      </c>
      <c r="BE26" t="s">
        <v>3</v>
      </c>
      <c r="BF26" t="s">
        <v>3</v>
      </c>
      <c r="BG26" t="s">
        <v>3</v>
      </c>
      <c r="BH26">
        <v>0</v>
      </c>
      <c r="BI26">
        <v>4</v>
      </c>
      <c r="BJ26" t="s">
        <v>26</v>
      </c>
      <c r="BM26">
        <v>0</v>
      </c>
      <c r="BN26">
        <v>0</v>
      </c>
      <c r="BO26" t="s">
        <v>3</v>
      </c>
      <c r="BP26">
        <v>0</v>
      </c>
      <c r="BQ26">
        <v>1</v>
      </c>
      <c r="BR26">
        <v>0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Y26" t="s">
        <v>3</v>
      </c>
      <c r="BZ26">
        <v>70</v>
      </c>
      <c r="CA26">
        <v>0</v>
      </c>
      <c r="CE26">
        <v>0</v>
      </c>
      <c r="CF26">
        <v>0</v>
      </c>
      <c r="CG26">
        <v>0</v>
      </c>
      <c r="CM26">
        <v>0</v>
      </c>
      <c r="CN26" t="s">
        <v>3</v>
      </c>
      <c r="CO26">
        <v>0</v>
      </c>
      <c r="CP26">
        <f t="shared" si="30"/>
        <v>12826.26</v>
      </c>
      <c r="CQ26">
        <f t="shared" si="31"/>
        <v>0</v>
      </c>
      <c r="CR26">
        <f>((((ET26)*BB26-(EU26)*BS26)+AE26*BS26)*AV26)</f>
        <v>14061.830000000002</v>
      </c>
      <c r="CS26">
        <f t="shared" si="32"/>
        <v>4581.2</v>
      </c>
      <c r="CT26">
        <f t="shared" si="33"/>
        <v>11611.22</v>
      </c>
      <c r="CU26">
        <f t="shared" si="34"/>
        <v>0</v>
      </c>
      <c r="CV26">
        <f t="shared" si="35"/>
        <v>49.5</v>
      </c>
      <c r="CW26">
        <f t="shared" si="36"/>
        <v>0</v>
      </c>
      <c r="CX26">
        <f t="shared" si="37"/>
        <v>0</v>
      </c>
      <c r="CY26">
        <f t="shared" si="38"/>
        <v>4060.6790000000001</v>
      </c>
      <c r="CZ26">
        <f t="shared" si="39"/>
        <v>0</v>
      </c>
      <c r="DC26" t="s">
        <v>3</v>
      </c>
      <c r="DD26" t="s">
        <v>3</v>
      </c>
      <c r="DE26" t="s">
        <v>3</v>
      </c>
      <c r="DF26" t="s">
        <v>3</v>
      </c>
      <c r="DG26" t="s">
        <v>3</v>
      </c>
      <c r="DH26" t="s">
        <v>3</v>
      </c>
      <c r="DI26" t="s">
        <v>3</v>
      </c>
      <c r="DJ26" t="s">
        <v>3</v>
      </c>
      <c r="DK26" t="s">
        <v>3</v>
      </c>
      <c r="DL26" t="s">
        <v>3</v>
      </c>
      <c r="DM26" t="s">
        <v>3</v>
      </c>
      <c r="DN26">
        <v>0</v>
      </c>
      <c r="DO26">
        <v>0</v>
      </c>
      <c r="DP26">
        <v>1</v>
      </c>
      <c r="DQ26">
        <v>1</v>
      </c>
      <c r="DU26">
        <v>1007</v>
      </c>
      <c r="DV26" t="s">
        <v>25</v>
      </c>
      <c r="DW26" t="s">
        <v>25</v>
      </c>
      <c r="DX26">
        <v>100</v>
      </c>
      <c r="EE26">
        <v>46228058</v>
      </c>
      <c r="EF26">
        <v>1</v>
      </c>
      <c r="EG26" t="s">
        <v>19</v>
      </c>
      <c r="EH26">
        <v>0</v>
      </c>
      <c r="EI26" t="s">
        <v>3</v>
      </c>
      <c r="EJ26">
        <v>4</v>
      </c>
      <c r="EK26">
        <v>0</v>
      </c>
      <c r="EL26" t="s">
        <v>20</v>
      </c>
      <c r="EM26" t="s">
        <v>21</v>
      </c>
      <c r="EO26" t="s">
        <v>3</v>
      </c>
      <c r="EQ26">
        <v>0</v>
      </c>
      <c r="ER26">
        <v>25673.05</v>
      </c>
      <c r="ES26">
        <v>0</v>
      </c>
      <c r="ET26">
        <v>14061.83</v>
      </c>
      <c r="EU26">
        <v>4581.2</v>
      </c>
      <c r="EV26">
        <v>11611.22</v>
      </c>
      <c r="EW26">
        <v>49.5</v>
      </c>
      <c r="EX26">
        <v>0</v>
      </c>
      <c r="EY26">
        <v>0</v>
      </c>
      <c r="FQ26">
        <v>0</v>
      </c>
      <c r="FR26">
        <f t="shared" si="40"/>
        <v>0</v>
      </c>
      <c r="FS26">
        <v>0</v>
      </c>
      <c r="FX26">
        <v>70</v>
      </c>
      <c r="FY26">
        <v>0</v>
      </c>
      <c r="GA26" t="s">
        <v>3</v>
      </c>
      <c r="GD26">
        <v>0</v>
      </c>
      <c r="GF26">
        <v>-216230911</v>
      </c>
      <c r="GG26">
        <v>2</v>
      </c>
      <c r="GH26">
        <v>1</v>
      </c>
      <c r="GI26">
        <v>-2</v>
      </c>
      <c r="GJ26">
        <v>0</v>
      </c>
      <c r="GK26">
        <f>ROUND(R26*(R12)/100,2)</f>
        <v>1785.24</v>
      </c>
      <c r="GL26">
        <f t="shared" si="41"/>
        <v>0</v>
      </c>
      <c r="GM26">
        <f>ROUND(O26+X26+Y26+GK26,2)+GX26</f>
        <v>18672.18</v>
      </c>
      <c r="GN26">
        <f>IF(OR(BI26=0,BI26=1),ROUND(O26+X26+Y26+GK26,2),0)</f>
        <v>0</v>
      </c>
      <c r="GO26">
        <f>IF(BI26=2,ROUND(O26+X26+Y26+GK26,2),0)</f>
        <v>0</v>
      </c>
      <c r="GP26">
        <f>IF(BI26=4,ROUND(O26+X26+Y26+GK26,2)+GX26,0)</f>
        <v>18672.18</v>
      </c>
      <c r="GR26">
        <v>0</v>
      </c>
      <c r="GS26">
        <v>3</v>
      </c>
      <c r="GT26">
        <v>0</v>
      </c>
      <c r="GU26" t="s">
        <v>3</v>
      </c>
      <c r="GV26">
        <f>ROUND((GT26),6)</f>
        <v>0</v>
      </c>
      <c r="GW26">
        <v>1</v>
      </c>
      <c r="GX26">
        <f t="shared" si="42"/>
        <v>0</v>
      </c>
      <c r="HA26">
        <v>0</v>
      </c>
      <c r="HB26">
        <v>0</v>
      </c>
      <c r="HC26">
        <f t="shared" si="43"/>
        <v>0</v>
      </c>
      <c r="IK26">
        <v>0</v>
      </c>
    </row>
    <row r="27" spans="1:245" x14ac:dyDescent="0.2">
      <c r="A27">
        <v>17</v>
      </c>
      <c r="B27">
        <v>1</v>
      </c>
      <c r="C27">
        <f>ROW(SmtRes!A5)</f>
        <v>5</v>
      </c>
      <c r="D27">
        <f>ROW(EtalonRes!A5)</f>
        <v>5</v>
      </c>
      <c r="E27" t="s">
        <v>27</v>
      </c>
      <c r="F27" t="s">
        <v>28</v>
      </c>
      <c r="G27" t="s">
        <v>29</v>
      </c>
      <c r="H27" t="s">
        <v>30</v>
      </c>
      <c r="I27">
        <f>ROUND(I26*100*2.4,9)</f>
        <v>119.904</v>
      </c>
      <c r="J27">
        <v>0</v>
      </c>
      <c r="O27">
        <f t="shared" si="14"/>
        <v>9347.7199999999993</v>
      </c>
      <c r="P27">
        <f t="shared" si="15"/>
        <v>0</v>
      </c>
      <c r="Q27">
        <f t="shared" si="16"/>
        <v>9347.7199999999993</v>
      </c>
      <c r="R27">
        <f t="shared" si="17"/>
        <v>2948.44</v>
      </c>
      <c r="S27">
        <f t="shared" si="18"/>
        <v>0</v>
      </c>
      <c r="T27">
        <f t="shared" si="19"/>
        <v>0</v>
      </c>
      <c r="U27">
        <f t="shared" si="20"/>
        <v>0</v>
      </c>
      <c r="V27">
        <f t="shared" si="21"/>
        <v>0</v>
      </c>
      <c r="W27">
        <f t="shared" si="22"/>
        <v>0</v>
      </c>
      <c r="X27">
        <f t="shared" si="23"/>
        <v>0</v>
      </c>
      <c r="Y27">
        <f t="shared" si="24"/>
        <v>0</v>
      </c>
      <c r="AA27">
        <v>46983916</v>
      </c>
      <c r="AB27">
        <f t="shared" si="25"/>
        <v>77.959999999999994</v>
      </c>
      <c r="AC27">
        <f>ROUND((ES27),6)</f>
        <v>0</v>
      </c>
      <c r="AD27">
        <f>ROUND((((ET27)-(EU27))+AE27),6)</f>
        <v>77.959999999999994</v>
      </c>
      <c r="AE27">
        <f t="shared" si="26"/>
        <v>24.59</v>
      </c>
      <c r="AF27">
        <f t="shared" si="26"/>
        <v>0</v>
      </c>
      <c r="AG27">
        <f t="shared" si="27"/>
        <v>0</v>
      </c>
      <c r="AH27">
        <f t="shared" si="28"/>
        <v>0</v>
      </c>
      <c r="AI27">
        <f t="shared" si="28"/>
        <v>0</v>
      </c>
      <c r="AJ27">
        <f t="shared" si="29"/>
        <v>0</v>
      </c>
      <c r="AK27">
        <v>77.959999999999994</v>
      </c>
      <c r="AL27">
        <v>0</v>
      </c>
      <c r="AM27">
        <v>77.959999999999994</v>
      </c>
      <c r="AN27">
        <v>24.59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70</v>
      </c>
      <c r="AU27">
        <v>0</v>
      </c>
      <c r="AV27">
        <v>1</v>
      </c>
      <c r="AW27">
        <v>1</v>
      </c>
      <c r="AZ27">
        <v>1</v>
      </c>
      <c r="BA27">
        <v>1</v>
      </c>
      <c r="BB27">
        <v>1</v>
      </c>
      <c r="BC27">
        <v>1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4</v>
      </c>
      <c r="BJ27" t="s">
        <v>31</v>
      </c>
      <c r="BM27">
        <v>0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70</v>
      </c>
      <c r="CA27">
        <v>0</v>
      </c>
      <c r="CE27">
        <v>0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0"/>
        <v>9347.7199999999993</v>
      </c>
      <c r="CQ27">
        <f t="shared" si="31"/>
        <v>0</v>
      </c>
      <c r="CR27">
        <f>((((ET27)*BB27-(EU27)*BS27)+AE27*BS27)*AV27)</f>
        <v>77.959999999999994</v>
      </c>
      <c r="CS27">
        <f t="shared" si="32"/>
        <v>24.59</v>
      </c>
      <c r="CT27">
        <f t="shared" si="33"/>
        <v>0</v>
      </c>
      <c r="CU27">
        <f t="shared" si="34"/>
        <v>0</v>
      </c>
      <c r="CV27">
        <f t="shared" si="35"/>
        <v>0</v>
      </c>
      <c r="CW27">
        <f t="shared" si="36"/>
        <v>0</v>
      </c>
      <c r="CX27">
        <f t="shared" si="37"/>
        <v>0</v>
      </c>
      <c r="CY27">
        <f t="shared" si="38"/>
        <v>0</v>
      </c>
      <c r="CZ27">
        <f t="shared" si="39"/>
        <v>0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1009</v>
      </c>
      <c r="DV27" t="s">
        <v>30</v>
      </c>
      <c r="DW27" t="s">
        <v>30</v>
      </c>
      <c r="DX27">
        <v>1000</v>
      </c>
      <c r="EE27">
        <v>46228058</v>
      </c>
      <c r="EF27">
        <v>1</v>
      </c>
      <c r="EG27" t="s">
        <v>19</v>
      </c>
      <c r="EH27">
        <v>0</v>
      </c>
      <c r="EI27" t="s">
        <v>3</v>
      </c>
      <c r="EJ27">
        <v>4</v>
      </c>
      <c r="EK27">
        <v>0</v>
      </c>
      <c r="EL27" t="s">
        <v>20</v>
      </c>
      <c r="EM27" t="s">
        <v>21</v>
      </c>
      <c r="EO27" t="s">
        <v>3</v>
      </c>
      <c r="EQ27">
        <v>0</v>
      </c>
      <c r="ER27">
        <v>77.959999999999994</v>
      </c>
      <c r="ES27">
        <v>0</v>
      </c>
      <c r="ET27">
        <v>77.959999999999994</v>
      </c>
      <c r="EU27">
        <v>24.59</v>
      </c>
      <c r="EV27">
        <v>0</v>
      </c>
      <c r="EW27">
        <v>0</v>
      </c>
      <c r="EX27">
        <v>0</v>
      </c>
      <c r="EY27">
        <v>0</v>
      </c>
      <c r="FQ27">
        <v>0</v>
      </c>
      <c r="FR27">
        <f t="shared" si="40"/>
        <v>0</v>
      </c>
      <c r="FS27">
        <v>0</v>
      </c>
      <c r="FX27">
        <v>70</v>
      </c>
      <c r="FY27">
        <v>0</v>
      </c>
      <c r="GA27" t="s">
        <v>3</v>
      </c>
      <c r="GD27">
        <v>0</v>
      </c>
      <c r="GF27">
        <v>-1900872047</v>
      </c>
      <c r="GG27">
        <v>2</v>
      </c>
      <c r="GH27">
        <v>1</v>
      </c>
      <c r="GI27">
        <v>-2</v>
      </c>
      <c r="GJ27">
        <v>0</v>
      </c>
      <c r="GK27">
        <f>ROUND(R27*(R12)/100,2)</f>
        <v>2299.7800000000002</v>
      </c>
      <c r="GL27">
        <f t="shared" si="41"/>
        <v>0</v>
      </c>
      <c r="GM27">
        <f>ROUND(O27+X27+Y27+GK27,2)+GX27</f>
        <v>11647.5</v>
      </c>
      <c r="GN27">
        <f>IF(OR(BI27=0,BI27=1),ROUND(O27+X27+Y27+GK27,2),0)</f>
        <v>0</v>
      </c>
      <c r="GO27">
        <f>IF(BI27=2,ROUND(O27+X27+Y27+GK27,2),0)</f>
        <v>0</v>
      </c>
      <c r="GP27">
        <f>IF(BI27=4,ROUND(O27+X27+Y27+GK27,2)+GX27,0)</f>
        <v>11647.5</v>
      </c>
      <c r="GR27">
        <v>0</v>
      </c>
      <c r="GS27">
        <v>3</v>
      </c>
      <c r="GT27">
        <v>0</v>
      </c>
      <c r="GU27" t="s">
        <v>3</v>
      </c>
      <c r="GV27">
        <f>ROUND((GT27),6)</f>
        <v>0</v>
      </c>
      <c r="GW27">
        <v>1</v>
      </c>
      <c r="GX27">
        <f t="shared" si="42"/>
        <v>0</v>
      </c>
      <c r="HA27">
        <v>0</v>
      </c>
      <c r="HB27">
        <v>0</v>
      </c>
      <c r="HC27">
        <f t="shared" si="43"/>
        <v>0</v>
      </c>
      <c r="IK27">
        <v>0</v>
      </c>
    </row>
    <row r="28" spans="1:245" x14ac:dyDescent="0.2">
      <c r="A28">
        <v>17</v>
      </c>
      <c r="B28">
        <v>1</v>
      </c>
      <c r="C28">
        <f>ROW(SmtRes!A7)</f>
        <v>7</v>
      </c>
      <c r="D28">
        <f>ROW(EtalonRes!A7)</f>
        <v>7</v>
      </c>
      <c r="E28" t="s">
        <v>32</v>
      </c>
      <c r="F28" t="s">
        <v>33</v>
      </c>
      <c r="G28" t="s">
        <v>34</v>
      </c>
      <c r="H28" t="s">
        <v>30</v>
      </c>
      <c r="I28">
        <f>ROUND(I27,9)</f>
        <v>119.904</v>
      </c>
      <c r="J28">
        <v>0</v>
      </c>
      <c r="O28">
        <f t="shared" si="14"/>
        <v>7494</v>
      </c>
      <c r="P28">
        <f t="shared" si="15"/>
        <v>0</v>
      </c>
      <c r="Q28">
        <f t="shared" si="16"/>
        <v>7494</v>
      </c>
      <c r="R28">
        <f t="shared" si="17"/>
        <v>4438.8500000000004</v>
      </c>
      <c r="S28">
        <f t="shared" si="18"/>
        <v>0</v>
      </c>
      <c r="T28">
        <f t="shared" si="19"/>
        <v>0</v>
      </c>
      <c r="U28">
        <f t="shared" si="20"/>
        <v>0</v>
      </c>
      <c r="V28">
        <f t="shared" si="21"/>
        <v>0</v>
      </c>
      <c r="W28">
        <f t="shared" si="22"/>
        <v>0</v>
      </c>
      <c r="X28">
        <f t="shared" si="23"/>
        <v>0</v>
      </c>
      <c r="Y28">
        <f t="shared" si="24"/>
        <v>0</v>
      </c>
      <c r="AA28">
        <v>46983916</v>
      </c>
      <c r="AB28">
        <f t="shared" si="25"/>
        <v>62.5</v>
      </c>
      <c r="AC28">
        <f>ROUND((ES28),6)</f>
        <v>0</v>
      </c>
      <c r="AD28">
        <f>ROUND((((ET28)-(EU28))+AE28),6)</f>
        <v>62.5</v>
      </c>
      <c r="AE28">
        <f t="shared" si="26"/>
        <v>37.020000000000003</v>
      </c>
      <c r="AF28">
        <f t="shared" si="26"/>
        <v>0</v>
      </c>
      <c r="AG28">
        <f t="shared" si="27"/>
        <v>0</v>
      </c>
      <c r="AH28">
        <f t="shared" si="28"/>
        <v>0</v>
      </c>
      <c r="AI28">
        <f t="shared" si="28"/>
        <v>0</v>
      </c>
      <c r="AJ28">
        <f t="shared" si="29"/>
        <v>0</v>
      </c>
      <c r="AK28">
        <v>62.5</v>
      </c>
      <c r="AL28">
        <v>0</v>
      </c>
      <c r="AM28">
        <v>62.5</v>
      </c>
      <c r="AN28">
        <v>37.020000000000003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1</v>
      </c>
      <c r="AW28">
        <v>1</v>
      </c>
      <c r="AZ28">
        <v>1</v>
      </c>
      <c r="BA28">
        <v>1</v>
      </c>
      <c r="BB28">
        <v>1</v>
      </c>
      <c r="BC28">
        <v>1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4</v>
      </c>
      <c r="BJ28" t="s">
        <v>35</v>
      </c>
      <c r="BM28">
        <v>1</v>
      </c>
      <c r="BN28">
        <v>0</v>
      </c>
      <c r="BO28" t="s">
        <v>3</v>
      </c>
      <c r="BP28">
        <v>0</v>
      </c>
      <c r="BQ28">
        <v>1</v>
      </c>
      <c r="BR28">
        <v>0</v>
      </c>
      <c r="BS28">
        <v>1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0</v>
      </c>
      <c r="CA28">
        <v>0</v>
      </c>
      <c r="CE28">
        <v>0</v>
      </c>
      <c r="CF28">
        <v>0</v>
      </c>
      <c r="CG28">
        <v>0</v>
      </c>
      <c r="CM28">
        <v>0</v>
      </c>
      <c r="CN28" t="s">
        <v>3</v>
      </c>
      <c r="CO28">
        <v>0</v>
      </c>
      <c r="CP28">
        <f t="shared" si="30"/>
        <v>7494</v>
      </c>
      <c r="CQ28">
        <f t="shared" si="31"/>
        <v>0</v>
      </c>
      <c r="CR28">
        <f>((((ET28)*BB28-(EU28)*BS28)+AE28*BS28)*AV28)</f>
        <v>62.5</v>
      </c>
      <c r="CS28">
        <f t="shared" si="32"/>
        <v>37.020000000000003</v>
      </c>
      <c r="CT28">
        <f t="shared" si="33"/>
        <v>0</v>
      </c>
      <c r="CU28">
        <f t="shared" si="34"/>
        <v>0</v>
      </c>
      <c r="CV28">
        <f t="shared" si="35"/>
        <v>0</v>
      </c>
      <c r="CW28">
        <f t="shared" si="36"/>
        <v>0</v>
      </c>
      <c r="CX28">
        <f t="shared" si="37"/>
        <v>0</v>
      </c>
      <c r="CY28">
        <f t="shared" si="38"/>
        <v>0</v>
      </c>
      <c r="CZ28">
        <f t="shared" si="39"/>
        <v>0</v>
      </c>
      <c r="DC28" t="s">
        <v>3</v>
      </c>
      <c r="DD28" t="s">
        <v>3</v>
      </c>
      <c r="DE28" t="s">
        <v>3</v>
      </c>
      <c r="DF28" t="s">
        <v>3</v>
      </c>
      <c r="DG28" t="s">
        <v>3</v>
      </c>
      <c r="DH28" t="s">
        <v>3</v>
      </c>
      <c r="DI28" t="s">
        <v>3</v>
      </c>
      <c r="DJ28" t="s">
        <v>3</v>
      </c>
      <c r="DK28" t="s">
        <v>3</v>
      </c>
      <c r="DL28" t="s">
        <v>3</v>
      </c>
      <c r="DM28" t="s">
        <v>3</v>
      </c>
      <c r="DN28">
        <v>0</v>
      </c>
      <c r="DO28">
        <v>0</v>
      </c>
      <c r="DP28">
        <v>1</v>
      </c>
      <c r="DQ28">
        <v>1</v>
      </c>
      <c r="DU28">
        <v>1009</v>
      </c>
      <c r="DV28" t="s">
        <v>30</v>
      </c>
      <c r="DW28" t="s">
        <v>30</v>
      </c>
      <c r="DX28">
        <v>1000</v>
      </c>
      <c r="EE28">
        <v>46228060</v>
      </c>
      <c r="EF28">
        <v>1</v>
      </c>
      <c r="EG28" t="s">
        <v>19</v>
      </c>
      <c r="EH28">
        <v>0</v>
      </c>
      <c r="EI28" t="s">
        <v>3</v>
      </c>
      <c r="EJ28">
        <v>4</v>
      </c>
      <c r="EK28">
        <v>1</v>
      </c>
      <c r="EL28" t="s">
        <v>36</v>
      </c>
      <c r="EM28" t="s">
        <v>21</v>
      </c>
      <c r="EO28" t="s">
        <v>3</v>
      </c>
      <c r="EQ28">
        <v>0</v>
      </c>
      <c r="ER28">
        <v>62.5</v>
      </c>
      <c r="ES28">
        <v>0</v>
      </c>
      <c r="ET28">
        <v>62.5</v>
      </c>
      <c r="EU28">
        <v>37.020000000000003</v>
      </c>
      <c r="EV28">
        <v>0</v>
      </c>
      <c r="EW28">
        <v>0</v>
      </c>
      <c r="EX28">
        <v>0</v>
      </c>
      <c r="EY28">
        <v>0</v>
      </c>
      <c r="FQ28">
        <v>0</v>
      </c>
      <c r="FR28">
        <f t="shared" si="40"/>
        <v>0</v>
      </c>
      <c r="FS28">
        <v>0</v>
      </c>
      <c r="FX28">
        <v>0</v>
      </c>
      <c r="FY28">
        <v>0</v>
      </c>
      <c r="GA28" t="s">
        <v>3</v>
      </c>
      <c r="GD28">
        <v>1</v>
      </c>
      <c r="GF28">
        <v>-888103399</v>
      </c>
      <c r="GG28">
        <v>2</v>
      </c>
      <c r="GH28">
        <v>1</v>
      </c>
      <c r="GI28">
        <v>-2</v>
      </c>
      <c r="GJ28">
        <v>0</v>
      </c>
      <c r="GK28">
        <v>0</v>
      </c>
      <c r="GL28">
        <f t="shared" si="41"/>
        <v>0</v>
      </c>
      <c r="GM28">
        <f>ROUND(O28+X28+Y28,2)+GX28</f>
        <v>7494</v>
      </c>
      <c r="GN28">
        <f>IF(OR(BI28=0,BI28=1),ROUND(O28+X28+Y28,2),0)</f>
        <v>0</v>
      </c>
      <c r="GO28">
        <f>IF(BI28=2,ROUND(O28+X28+Y28,2),0)</f>
        <v>0</v>
      </c>
      <c r="GP28">
        <f>IF(BI28=4,ROUND(O28+X28+Y28,2)+GX28,0)</f>
        <v>7494</v>
      </c>
      <c r="GR28">
        <v>0</v>
      </c>
      <c r="GS28">
        <v>3</v>
      </c>
      <c r="GT28">
        <v>0</v>
      </c>
      <c r="GU28" t="s">
        <v>3</v>
      </c>
      <c r="GV28">
        <f>ROUND((GT28),6)</f>
        <v>0</v>
      </c>
      <c r="GW28">
        <v>1</v>
      </c>
      <c r="GX28">
        <f t="shared" si="42"/>
        <v>0</v>
      </c>
      <c r="HA28">
        <v>0</v>
      </c>
      <c r="HB28">
        <v>0</v>
      </c>
      <c r="HC28">
        <f t="shared" si="43"/>
        <v>0</v>
      </c>
      <c r="IK28">
        <v>0</v>
      </c>
    </row>
    <row r="29" spans="1:245" x14ac:dyDescent="0.2">
      <c r="A29">
        <v>17</v>
      </c>
      <c r="B29">
        <v>1</v>
      </c>
      <c r="C29">
        <f>ROW(SmtRes!A9)</f>
        <v>9</v>
      </c>
      <c r="D29">
        <f>ROW(EtalonRes!A9)</f>
        <v>9</v>
      </c>
      <c r="E29" t="s">
        <v>37</v>
      </c>
      <c r="F29" t="s">
        <v>38</v>
      </c>
      <c r="G29" t="s">
        <v>39</v>
      </c>
      <c r="H29" t="s">
        <v>30</v>
      </c>
      <c r="I29">
        <f>ROUND(I27,9)</f>
        <v>119.904</v>
      </c>
      <c r="J29">
        <v>0</v>
      </c>
      <c r="O29">
        <f t="shared" si="14"/>
        <v>92215.77</v>
      </c>
      <c r="P29">
        <f t="shared" si="15"/>
        <v>0</v>
      </c>
      <c r="Q29">
        <f t="shared" si="16"/>
        <v>92215.77</v>
      </c>
      <c r="R29">
        <f t="shared" si="17"/>
        <v>54681.02</v>
      </c>
      <c r="S29">
        <f t="shared" si="18"/>
        <v>0</v>
      </c>
      <c r="T29">
        <f t="shared" si="19"/>
        <v>0</v>
      </c>
      <c r="U29">
        <f t="shared" si="20"/>
        <v>0</v>
      </c>
      <c r="V29">
        <f t="shared" si="21"/>
        <v>0</v>
      </c>
      <c r="W29">
        <f t="shared" si="22"/>
        <v>0</v>
      </c>
      <c r="X29">
        <f t="shared" si="23"/>
        <v>0</v>
      </c>
      <c r="Y29">
        <f t="shared" si="24"/>
        <v>0</v>
      </c>
      <c r="AA29">
        <v>46983916</v>
      </c>
      <c r="AB29">
        <f t="shared" si="25"/>
        <v>769.08</v>
      </c>
      <c r="AC29">
        <f>ROUND(((ES29*26)),6)</f>
        <v>0</v>
      </c>
      <c r="AD29">
        <f>ROUND(((((ET29*26))-((EU29*26)))+AE29),6)</f>
        <v>769.08</v>
      </c>
      <c r="AE29">
        <f>ROUND(((EU29*26)),6)</f>
        <v>456.04</v>
      </c>
      <c r="AF29">
        <f>ROUND(((EV29*26)),6)</f>
        <v>0</v>
      </c>
      <c r="AG29">
        <f t="shared" si="27"/>
        <v>0</v>
      </c>
      <c r="AH29">
        <f>((EW29*26))</f>
        <v>0</v>
      </c>
      <c r="AI29">
        <f>((EX29*26))</f>
        <v>0</v>
      </c>
      <c r="AJ29">
        <f t="shared" si="29"/>
        <v>0</v>
      </c>
      <c r="AK29">
        <v>29.58</v>
      </c>
      <c r="AL29">
        <v>0</v>
      </c>
      <c r="AM29">
        <v>29.58</v>
      </c>
      <c r="AN29">
        <v>17.54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1</v>
      </c>
      <c r="AW29">
        <v>1</v>
      </c>
      <c r="AZ29">
        <v>1</v>
      </c>
      <c r="BA29">
        <v>1</v>
      </c>
      <c r="BB29">
        <v>1</v>
      </c>
      <c r="BC29">
        <v>1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4</v>
      </c>
      <c r="BJ29" t="s">
        <v>40</v>
      </c>
      <c r="BM29">
        <v>1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0</v>
      </c>
      <c r="CA29">
        <v>0</v>
      </c>
      <c r="CE29">
        <v>0</v>
      </c>
      <c r="CF29">
        <v>0</v>
      </c>
      <c r="CG29">
        <v>0</v>
      </c>
      <c r="CM29">
        <v>0</v>
      </c>
      <c r="CN29" t="s">
        <v>41</v>
      </c>
      <c r="CO29">
        <v>0</v>
      </c>
      <c r="CP29">
        <f t="shared" si="30"/>
        <v>92215.77</v>
      </c>
      <c r="CQ29">
        <f t="shared" si="31"/>
        <v>0</v>
      </c>
      <c r="CR29">
        <f>(((((ET29*26))*BB29-((EU29*26))*BS29)+AE29*BS29)*AV29)</f>
        <v>769.07999999999993</v>
      </c>
      <c r="CS29">
        <f t="shared" si="32"/>
        <v>456.04</v>
      </c>
      <c r="CT29">
        <f t="shared" si="33"/>
        <v>0</v>
      </c>
      <c r="CU29">
        <f t="shared" si="34"/>
        <v>0</v>
      </c>
      <c r="CV29">
        <f t="shared" si="35"/>
        <v>0</v>
      </c>
      <c r="CW29">
        <f t="shared" si="36"/>
        <v>0</v>
      </c>
      <c r="CX29">
        <f t="shared" si="37"/>
        <v>0</v>
      </c>
      <c r="CY29">
        <f t="shared" si="38"/>
        <v>0</v>
      </c>
      <c r="CZ29">
        <f t="shared" si="39"/>
        <v>0</v>
      </c>
      <c r="DC29" t="s">
        <v>3</v>
      </c>
      <c r="DD29" t="s">
        <v>42</v>
      </c>
      <c r="DE29" t="s">
        <v>42</v>
      </c>
      <c r="DF29" t="s">
        <v>42</v>
      </c>
      <c r="DG29" t="s">
        <v>42</v>
      </c>
      <c r="DH29" t="s">
        <v>3</v>
      </c>
      <c r="DI29" t="s">
        <v>42</v>
      </c>
      <c r="DJ29" t="s">
        <v>42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1009</v>
      </c>
      <c r="DV29" t="s">
        <v>30</v>
      </c>
      <c r="DW29" t="s">
        <v>30</v>
      </c>
      <c r="DX29">
        <v>1000</v>
      </c>
      <c r="EE29">
        <v>46228060</v>
      </c>
      <c r="EF29">
        <v>1</v>
      </c>
      <c r="EG29" t="s">
        <v>19</v>
      </c>
      <c r="EH29">
        <v>0</v>
      </c>
      <c r="EI29" t="s">
        <v>3</v>
      </c>
      <c r="EJ29">
        <v>4</v>
      </c>
      <c r="EK29">
        <v>1</v>
      </c>
      <c r="EL29" t="s">
        <v>36</v>
      </c>
      <c r="EM29" t="s">
        <v>21</v>
      </c>
      <c r="EO29" t="s">
        <v>3</v>
      </c>
      <c r="EQ29">
        <v>256</v>
      </c>
      <c r="ER29">
        <v>29.58</v>
      </c>
      <c r="ES29">
        <v>0</v>
      </c>
      <c r="ET29">
        <v>29.58</v>
      </c>
      <c r="EU29">
        <v>17.54</v>
      </c>
      <c r="EV29">
        <v>0</v>
      </c>
      <c r="EW29">
        <v>0</v>
      </c>
      <c r="EX29">
        <v>0</v>
      </c>
      <c r="EY29">
        <v>0</v>
      </c>
      <c r="FQ29">
        <v>0</v>
      </c>
      <c r="FR29">
        <f t="shared" si="40"/>
        <v>0</v>
      </c>
      <c r="FS29">
        <v>0</v>
      </c>
      <c r="FX29">
        <v>0</v>
      </c>
      <c r="FY29">
        <v>0</v>
      </c>
      <c r="GA29" t="s">
        <v>3</v>
      </c>
      <c r="GD29">
        <v>1</v>
      </c>
      <c r="GF29">
        <v>1159273940</v>
      </c>
      <c r="GG29">
        <v>2</v>
      </c>
      <c r="GH29">
        <v>1</v>
      </c>
      <c r="GI29">
        <v>-2</v>
      </c>
      <c r="GJ29">
        <v>0</v>
      </c>
      <c r="GK29">
        <v>0</v>
      </c>
      <c r="GL29">
        <f t="shared" si="41"/>
        <v>0</v>
      </c>
      <c r="GM29">
        <f>ROUND(O29+X29+Y29,2)+GX29</f>
        <v>92215.77</v>
      </c>
      <c r="GN29">
        <f>IF(OR(BI29=0,BI29=1),ROUND(O29+X29+Y29,2),0)</f>
        <v>0</v>
      </c>
      <c r="GO29">
        <f>IF(BI29=2,ROUND(O29+X29+Y29,2),0)</f>
        <v>0</v>
      </c>
      <c r="GP29">
        <f>IF(BI29=4,ROUND(O29+X29+Y29,2)+GX29,0)</f>
        <v>92215.77</v>
      </c>
      <c r="GR29">
        <v>0</v>
      </c>
      <c r="GS29">
        <v>3</v>
      </c>
      <c r="GT29">
        <v>0</v>
      </c>
      <c r="GU29" t="s">
        <v>42</v>
      </c>
      <c r="GV29">
        <f>ROUND(((GT29*26)),6)</f>
        <v>0</v>
      </c>
      <c r="GW29">
        <v>1</v>
      </c>
      <c r="GX29">
        <f t="shared" si="42"/>
        <v>0</v>
      </c>
      <c r="HA29">
        <v>0</v>
      </c>
      <c r="HB29">
        <v>0</v>
      </c>
      <c r="HC29">
        <f t="shared" si="43"/>
        <v>0</v>
      </c>
      <c r="IK29">
        <v>0</v>
      </c>
    </row>
    <row r="30" spans="1:245" x14ac:dyDescent="0.2">
      <c r="A30">
        <v>17</v>
      </c>
      <c r="B30">
        <v>1</v>
      </c>
      <c r="E30" t="s">
        <v>43</v>
      </c>
      <c r="F30" t="s">
        <v>44</v>
      </c>
      <c r="G30" t="s">
        <v>45</v>
      </c>
      <c r="H30" t="s">
        <v>30</v>
      </c>
      <c r="I30">
        <f>ROUND(I27,9)</f>
        <v>119.904</v>
      </c>
      <c r="J30">
        <v>0</v>
      </c>
      <c r="O30">
        <f t="shared" si="14"/>
        <v>18058.740000000002</v>
      </c>
      <c r="P30">
        <f t="shared" si="15"/>
        <v>18058.740000000002</v>
      </c>
      <c r="Q30">
        <f t="shared" si="16"/>
        <v>0</v>
      </c>
      <c r="R30">
        <f t="shared" si="17"/>
        <v>0</v>
      </c>
      <c r="S30">
        <f t="shared" si="18"/>
        <v>0</v>
      </c>
      <c r="T30">
        <f t="shared" si="19"/>
        <v>0</v>
      </c>
      <c r="U30">
        <f t="shared" si="20"/>
        <v>0</v>
      </c>
      <c r="V30">
        <f t="shared" si="21"/>
        <v>0</v>
      </c>
      <c r="W30">
        <f t="shared" si="22"/>
        <v>0</v>
      </c>
      <c r="X30">
        <f t="shared" si="23"/>
        <v>0</v>
      </c>
      <c r="Y30">
        <f t="shared" si="24"/>
        <v>0</v>
      </c>
      <c r="AA30">
        <v>46983916</v>
      </c>
      <c r="AB30">
        <f t="shared" si="25"/>
        <v>150.61000000000001</v>
      </c>
      <c r="AC30">
        <f>ROUND((ES30),6)</f>
        <v>150.61000000000001</v>
      </c>
      <c r="AD30">
        <f>ROUND((((ET30)-(EU30))+AE30),6)</f>
        <v>0</v>
      </c>
      <c r="AE30">
        <f t="shared" ref="AE30:AF34" si="44">ROUND((EU30),6)</f>
        <v>0</v>
      </c>
      <c r="AF30">
        <f t="shared" si="44"/>
        <v>0</v>
      </c>
      <c r="AG30">
        <f t="shared" si="27"/>
        <v>0</v>
      </c>
      <c r="AH30">
        <f t="shared" ref="AH30:AI34" si="45">(EW30)</f>
        <v>0</v>
      </c>
      <c r="AI30">
        <f t="shared" si="45"/>
        <v>0</v>
      </c>
      <c r="AJ30">
        <f t="shared" si="29"/>
        <v>0</v>
      </c>
      <c r="AK30">
        <v>150.61000000000001</v>
      </c>
      <c r="AL30">
        <v>150.61000000000001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70</v>
      </c>
      <c r="AU30">
        <v>10</v>
      </c>
      <c r="AV30">
        <v>1</v>
      </c>
      <c r="AW30">
        <v>1</v>
      </c>
      <c r="AZ30">
        <v>1</v>
      </c>
      <c r="BA30">
        <v>1</v>
      </c>
      <c r="BB30">
        <v>1</v>
      </c>
      <c r="BC30">
        <v>1</v>
      </c>
      <c r="BD30" t="s">
        <v>3</v>
      </c>
      <c r="BE30" t="s">
        <v>3</v>
      </c>
      <c r="BF30" t="s">
        <v>3</v>
      </c>
      <c r="BG30" t="s">
        <v>3</v>
      </c>
      <c r="BH30">
        <v>3</v>
      </c>
      <c r="BI30">
        <v>4</v>
      </c>
      <c r="BJ30" t="s">
        <v>46</v>
      </c>
      <c r="BM30">
        <v>0</v>
      </c>
      <c r="BN30">
        <v>0</v>
      </c>
      <c r="BO30" t="s">
        <v>3</v>
      </c>
      <c r="BP30">
        <v>0</v>
      </c>
      <c r="BQ30">
        <v>1</v>
      </c>
      <c r="BR30">
        <v>0</v>
      </c>
      <c r="BS30">
        <v>1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70</v>
      </c>
      <c r="CA30">
        <v>10</v>
      </c>
      <c r="CE30">
        <v>0</v>
      </c>
      <c r="CF30">
        <v>0</v>
      </c>
      <c r="CG30">
        <v>0</v>
      </c>
      <c r="CM30">
        <v>0</v>
      </c>
      <c r="CN30" t="s">
        <v>3</v>
      </c>
      <c r="CO30">
        <v>0</v>
      </c>
      <c r="CP30">
        <f t="shared" si="30"/>
        <v>18058.740000000002</v>
      </c>
      <c r="CQ30">
        <f t="shared" si="31"/>
        <v>150.61000000000001</v>
      </c>
      <c r="CR30">
        <f>((((ET30)*BB30-(EU30)*BS30)+AE30*BS30)*AV30)</f>
        <v>0</v>
      </c>
      <c r="CS30">
        <f t="shared" si="32"/>
        <v>0</v>
      </c>
      <c r="CT30">
        <f t="shared" si="33"/>
        <v>0</v>
      </c>
      <c r="CU30">
        <f t="shared" si="34"/>
        <v>0</v>
      </c>
      <c r="CV30">
        <f t="shared" si="35"/>
        <v>0</v>
      </c>
      <c r="CW30">
        <f t="shared" si="36"/>
        <v>0</v>
      </c>
      <c r="CX30">
        <f t="shared" si="37"/>
        <v>0</v>
      </c>
      <c r="CY30">
        <f t="shared" si="38"/>
        <v>0</v>
      </c>
      <c r="CZ30">
        <f t="shared" si="39"/>
        <v>0</v>
      </c>
      <c r="DC30" t="s">
        <v>3</v>
      </c>
      <c r="DD30" t="s">
        <v>3</v>
      </c>
      <c r="DE30" t="s">
        <v>3</v>
      </c>
      <c r="DF30" t="s">
        <v>3</v>
      </c>
      <c r="DG30" t="s">
        <v>3</v>
      </c>
      <c r="DH30" t="s">
        <v>3</v>
      </c>
      <c r="DI30" t="s">
        <v>3</v>
      </c>
      <c r="DJ30" t="s">
        <v>3</v>
      </c>
      <c r="DK30" t="s">
        <v>3</v>
      </c>
      <c r="DL30" t="s">
        <v>3</v>
      </c>
      <c r="DM30" t="s">
        <v>3</v>
      </c>
      <c r="DN30">
        <v>0</v>
      </c>
      <c r="DO30">
        <v>0</v>
      </c>
      <c r="DP30">
        <v>1</v>
      </c>
      <c r="DQ30">
        <v>1</v>
      </c>
      <c r="DU30">
        <v>1009</v>
      </c>
      <c r="DV30" t="s">
        <v>30</v>
      </c>
      <c r="DW30" t="s">
        <v>30</v>
      </c>
      <c r="DX30">
        <v>1000</v>
      </c>
      <c r="EE30">
        <v>46228058</v>
      </c>
      <c r="EF30">
        <v>1</v>
      </c>
      <c r="EG30" t="s">
        <v>19</v>
      </c>
      <c r="EH30">
        <v>0</v>
      </c>
      <c r="EI30" t="s">
        <v>3</v>
      </c>
      <c r="EJ30">
        <v>4</v>
      </c>
      <c r="EK30">
        <v>0</v>
      </c>
      <c r="EL30" t="s">
        <v>20</v>
      </c>
      <c r="EM30" t="s">
        <v>21</v>
      </c>
      <c r="EO30" t="s">
        <v>3</v>
      </c>
      <c r="EQ30">
        <v>0</v>
      </c>
      <c r="ER30">
        <v>150.61000000000001</v>
      </c>
      <c r="ES30">
        <v>150.61000000000001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FQ30">
        <v>0</v>
      </c>
      <c r="FR30">
        <f t="shared" si="40"/>
        <v>0</v>
      </c>
      <c r="FS30">
        <v>0</v>
      </c>
      <c r="FX30">
        <v>70</v>
      </c>
      <c r="FY30">
        <v>10</v>
      </c>
      <c r="GA30" t="s">
        <v>3</v>
      </c>
      <c r="GD30">
        <v>0</v>
      </c>
      <c r="GF30">
        <v>1262255996</v>
      </c>
      <c r="GG30">
        <v>2</v>
      </c>
      <c r="GH30">
        <v>1</v>
      </c>
      <c r="GI30">
        <v>-2</v>
      </c>
      <c r="GJ30">
        <v>0</v>
      </c>
      <c r="GK30">
        <f>ROUND(R30*(R12)/100,2)</f>
        <v>0</v>
      </c>
      <c r="GL30">
        <f t="shared" si="41"/>
        <v>0</v>
      </c>
      <c r="GM30">
        <f>ROUND(O30+X30+Y30+GK30,2)+GX30</f>
        <v>18058.740000000002</v>
      </c>
      <c r="GN30">
        <f>IF(OR(BI30=0,BI30=1),ROUND(O30+X30+Y30+GK30,2),0)</f>
        <v>0</v>
      </c>
      <c r="GO30">
        <f>IF(BI30=2,ROUND(O30+X30+Y30+GK30,2),0)</f>
        <v>0</v>
      </c>
      <c r="GP30">
        <f>IF(BI30=4,ROUND(O30+X30+Y30+GK30,2)+GX30,0)</f>
        <v>18058.740000000002</v>
      </c>
      <c r="GR30">
        <v>0</v>
      </c>
      <c r="GS30">
        <v>3</v>
      </c>
      <c r="GT30">
        <v>0</v>
      </c>
      <c r="GU30" t="s">
        <v>3</v>
      </c>
      <c r="GV30">
        <f>ROUND((GT30),6)</f>
        <v>0</v>
      </c>
      <c r="GW30">
        <v>1</v>
      </c>
      <c r="GX30">
        <f t="shared" si="42"/>
        <v>0</v>
      </c>
      <c r="HA30">
        <v>0</v>
      </c>
      <c r="HB30">
        <v>0</v>
      </c>
      <c r="HC30">
        <f t="shared" si="43"/>
        <v>0</v>
      </c>
      <c r="IK30">
        <v>0</v>
      </c>
    </row>
    <row r="31" spans="1:245" x14ac:dyDescent="0.2">
      <c r="A31">
        <v>17</v>
      </c>
      <c r="B31">
        <v>1</v>
      </c>
      <c r="C31">
        <f>ROW(SmtRes!A13)</f>
        <v>13</v>
      </c>
      <c r="D31">
        <f>ROW(EtalonRes!A13)</f>
        <v>13</v>
      </c>
      <c r="E31" t="s">
        <v>47</v>
      </c>
      <c r="F31" t="s">
        <v>48</v>
      </c>
      <c r="G31" t="s">
        <v>49</v>
      </c>
      <c r="H31" t="s">
        <v>50</v>
      </c>
      <c r="I31">
        <f>ROUND((80)/100,9)</f>
        <v>0.8</v>
      </c>
      <c r="J31">
        <v>0</v>
      </c>
      <c r="O31">
        <f t="shared" si="14"/>
        <v>436359.38</v>
      </c>
      <c r="P31">
        <f t="shared" si="15"/>
        <v>431352.5</v>
      </c>
      <c r="Q31">
        <f t="shared" si="16"/>
        <v>455.46</v>
      </c>
      <c r="R31">
        <f t="shared" si="17"/>
        <v>243.09</v>
      </c>
      <c r="S31">
        <f t="shared" si="18"/>
        <v>4551.42</v>
      </c>
      <c r="T31">
        <f t="shared" si="19"/>
        <v>0</v>
      </c>
      <c r="U31">
        <f t="shared" si="20"/>
        <v>20.784000000000002</v>
      </c>
      <c r="V31">
        <f t="shared" si="21"/>
        <v>0</v>
      </c>
      <c r="W31">
        <f t="shared" si="22"/>
        <v>0</v>
      </c>
      <c r="X31">
        <f t="shared" si="23"/>
        <v>3185.99</v>
      </c>
      <c r="Y31">
        <f t="shared" si="24"/>
        <v>0</v>
      </c>
      <c r="AA31">
        <v>46983916</v>
      </c>
      <c r="AB31">
        <f t="shared" si="25"/>
        <v>545449.22</v>
      </c>
      <c r="AC31">
        <f>ROUND((ES31),6)</f>
        <v>539190.62</v>
      </c>
      <c r="AD31">
        <f>ROUND((((ET31)-(EU31))+AE31),6)</f>
        <v>569.33000000000004</v>
      </c>
      <c r="AE31">
        <f t="shared" si="44"/>
        <v>303.86</v>
      </c>
      <c r="AF31">
        <f t="shared" si="44"/>
        <v>5689.27</v>
      </c>
      <c r="AG31">
        <f t="shared" si="27"/>
        <v>0</v>
      </c>
      <c r="AH31">
        <f t="shared" si="45"/>
        <v>25.98</v>
      </c>
      <c r="AI31">
        <f t="shared" si="45"/>
        <v>0</v>
      </c>
      <c r="AJ31">
        <f t="shared" si="29"/>
        <v>0</v>
      </c>
      <c r="AK31">
        <v>545449.22</v>
      </c>
      <c r="AL31">
        <v>539190.62</v>
      </c>
      <c r="AM31">
        <v>569.33000000000004</v>
      </c>
      <c r="AN31">
        <v>303.86</v>
      </c>
      <c r="AO31">
        <v>5689.27</v>
      </c>
      <c r="AP31">
        <v>0</v>
      </c>
      <c r="AQ31">
        <v>25.98</v>
      </c>
      <c r="AR31">
        <v>0</v>
      </c>
      <c r="AS31">
        <v>0</v>
      </c>
      <c r="AT31">
        <v>70</v>
      </c>
      <c r="AU31">
        <v>0</v>
      </c>
      <c r="AV31">
        <v>1</v>
      </c>
      <c r="AW31">
        <v>1</v>
      </c>
      <c r="AZ31">
        <v>1</v>
      </c>
      <c r="BA31">
        <v>1</v>
      </c>
      <c r="BB31">
        <v>1</v>
      </c>
      <c r="BC31">
        <v>1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4</v>
      </c>
      <c r="BJ31" t="s">
        <v>51</v>
      </c>
      <c r="BM31">
        <v>0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70</v>
      </c>
      <c r="CA31">
        <v>0</v>
      </c>
      <c r="CE31">
        <v>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0"/>
        <v>436359.38</v>
      </c>
      <c r="CQ31">
        <f t="shared" si="31"/>
        <v>539190.62</v>
      </c>
      <c r="CR31">
        <f>((((ET31)*BB31-(EU31)*BS31)+AE31*BS31)*AV31)</f>
        <v>569.33000000000004</v>
      </c>
      <c r="CS31">
        <f t="shared" si="32"/>
        <v>303.86</v>
      </c>
      <c r="CT31">
        <f t="shared" si="33"/>
        <v>5689.27</v>
      </c>
      <c r="CU31">
        <f t="shared" si="34"/>
        <v>0</v>
      </c>
      <c r="CV31">
        <f t="shared" si="35"/>
        <v>25.98</v>
      </c>
      <c r="CW31">
        <f t="shared" si="36"/>
        <v>0</v>
      </c>
      <c r="CX31">
        <f t="shared" si="37"/>
        <v>0</v>
      </c>
      <c r="CY31">
        <f t="shared" si="38"/>
        <v>3185.9940000000001</v>
      </c>
      <c r="CZ31">
        <f t="shared" si="39"/>
        <v>0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1003</v>
      </c>
      <c r="DV31" t="s">
        <v>50</v>
      </c>
      <c r="DW31" t="s">
        <v>50</v>
      </c>
      <c r="DX31">
        <v>100</v>
      </c>
      <c r="EE31">
        <v>46228058</v>
      </c>
      <c r="EF31">
        <v>1</v>
      </c>
      <c r="EG31" t="s">
        <v>19</v>
      </c>
      <c r="EH31">
        <v>0</v>
      </c>
      <c r="EI31" t="s">
        <v>3</v>
      </c>
      <c r="EJ31">
        <v>4</v>
      </c>
      <c r="EK31">
        <v>0</v>
      </c>
      <c r="EL31" t="s">
        <v>20</v>
      </c>
      <c r="EM31" t="s">
        <v>21</v>
      </c>
      <c r="EO31" t="s">
        <v>3</v>
      </c>
      <c r="EQ31">
        <v>0</v>
      </c>
      <c r="ER31">
        <v>545449.22</v>
      </c>
      <c r="ES31">
        <v>539190.62</v>
      </c>
      <c r="ET31">
        <v>569.33000000000004</v>
      </c>
      <c r="EU31">
        <v>303.86</v>
      </c>
      <c r="EV31">
        <v>5689.27</v>
      </c>
      <c r="EW31">
        <v>25.98</v>
      </c>
      <c r="EX31">
        <v>0</v>
      </c>
      <c r="EY31">
        <v>0</v>
      </c>
      <c r="FQ31">
        <v>0</v>
      </c>
      <c r="FR31">
        <f t="shared" si="40"/>
        <v>0</v>
      </c>
      <c r="FS31">
        <v>0</v>
      </c>
      <c r="FX31">
        <v>70</v>
      </c>
      <c r="FY31">
        <v>0</v>
      </c>
      <c r="GA31" t="s">
        <v>3</v>
      </c>
      <c r="GD31">
        <v>0</v>
      </c>
      <c r="GF31">
        <v>868695480</v>
      </c>
      <c r="GG31">
        <v>2</v>
      </c>
      <c r="GH31">
        <v>1</v>
      </c>
      <c r="GI31">
        <v>-2</v>
      </c>
      <c r="GJ31">
        <v>0</v>
      </c>
      <c r="GK31">
        <f>ROUND(R31*(R12)/100,2)</f>
        <v>189.61</v>
      </c>
      <c r="GL31">
        <f t="shared" si="41"/>
        <v>0</v>
      </c>
      <c r="GM31">
        <f>ROUND(O31+X31+Y31+GK31,2)+GX31</f>
        <v>439734.98</v>
      </c>
      <c r="GN31">
        <f>IF(OR(BI31=0,BI31=1),ROUND(O31+X31+Y31+GK31,2),0)</f>
        <v>0</v>
      </c>
      <c r="GO31">
        <f>IF(BI31=2,ROUND(O31+X31+Y31+GK31,2),0)</f>
        <v>0</v>
      </c>
      <c r="GP31">
        <f>IF(BI31=4,ROUND(O31+X31+Y31+GK31,2)+GX31,0)</f>
        <v>439734.98</v>
      </c>
      <c r="GR31">
        <v>0</v>
      </c>
      <c r="GS31">
        <v>3</v>
      </c>
      <c r="GT31">
        <v>0</v>
      </c>
      <c r="GU31" t="s">
        <v>3</v>
      </c>
      <c r="GV31">
        <f>ROUND((GT31),6)</f>
        <v>0</v>
      </c>
      <c r="GW31">
        <v>1</v>
      </c>
      <c r="GX31">
        <f t="shared" si="42"/>
        <v>0</v>
      </c>
      <c r="HA31">
        <v>0</v>
      </c>
      <c r="HB31">
        <v>0</v>
      </c>
      <c r="HC31">
        <f t="shared" si="43"/>
        <v>0</v>
      </c>
      <c r="IK31">
        <v>0</v>
      </c>
    </row>
    <row r="32" spans="1:245" x14ac:dyDescent="0.2">
      <c r="A32">
        <v>17</v>
      </c>
      <c r="B32">
        <v>1</v>
      </c>
      <c r="C32">
        <f>ROW(SmtRes!A18)</f>
        <v>18</v>
      </c>
      <c r="D32">
        <f>ROW(EtalonRes!A18)</f>
        <v>18</v>
      </c>
      <c r="E32" t="s">
        <v>52</v>
      </c>
      <c r="F32" t="s">
        <v>53</v>
      </c>
      <c r="G32" t="s">
        <v>54</v>
      </c>
      <c r="H32" t="s">
        <v>17</v>
      </c>
      <c r="I32">
        <f>ROUND(700/100,9)</f>
        <v>7</v>
      </c>
      <c r="J32">
        <v>0</v>
      </c>
      <c r="O32">
        <f t="shared" si="14"/>
        <v>294306.95</v>
      </c>
      <c r="P32">
        <f t="shared" si="15"/>
        <v>221982.32</v>
      </c>
      <c r="Q32">
        <f t="shared" si="16"/>
        <v>0</v>
      </c>
      <c r="R32">
        <f t="shared" si="17"/>
        <v>0</v>
      </c>
      <c r="S32">
        <f t="shared" si="18"/>
        <v>72324.63</v>
      </c>
      <c r="T32">
        <f t="shared" si="19"/>
        <v>0</v>
      </c>
      <c r="U32">
        <f t="shared" si="20"/>
        <v>313.95</v>
      </c>
      <c r="V32">
        <f t="shared" si="21"/>
        <v>0</v>
      </c>
      <c r="W32">
        <f t="shared" si="22"/>
        <v>0</v>
      </c>
      <c r="X32">
        <f t="shared" si="23"/>
        <v>50627.24</v>
      </c>
      <c r="Y32">
        <f t="shared" si="24"/>
        <v>0</v>
      </c>
      <c r="AA32">
        <v>46983916</v>
      </c>
      <c r="AB32">
        <f t="shared" si="25"/>
        <v>42043.85</v>
      </c>
      <c r="AC32">
        <f>ROUND((ES32),6)</f>
        <v>31711.759999999998</v>
      </c>
      <c r="AD32">
        <f>ROUND((((ET32)-(EU32))+AE32),6)</f>
        <v>0</v>
      </c>
      <c r="AE32">
        <f t="shared" si="44"/>
        <v>0</v>
      </c>
      <c r="AF32">
        <f t="shared" si="44"/>
        <v>10332.09</v>
      </c>
      <c r="AG32">
        <f t="shared" si="27"/>
        <v>0</v>
      </c>
      <c r="AH32">
        <f t="shared" si="45"/>
        <v>44.85</v>
      </c>
      <c r="AI32">
        <f t="shared" si="45"/>
        <v>0</v>
      </c>
      <c r="AJ32">
        <f t="shared" si="29"/>
        <v>0</v>
      </c>
      <c r="AK32">
        <v>42043.85</v>
      </c>
      <c r="AL32">
        <v>31711.759999999998</v>
      </c>
      <c r="AM32">
        <v>0</v>
      </c>
      <c r="AN32">
        <v>0</v>
      </c>
      <c r="AO32">
        <v>10332.09</v>
      </c>
      <c r="AP32">
        <v>0</v>
      </c>
      <c r="AQ32">
        <v>44.85</v>
      </c>
      <c r="AR32">
        <v>0</v>
      </c>
      <c r="AS32">
        <v>0</v>
      </c>
      <c r="AT32">
        <v>70</v>
      </c>
      <c r="AU32">
        <v>0</v>
      </c>
      <c r="AV32">
        <v>1</v>
      </c>
      <c r="AW32">
        <v>1</v>
      </c>
      <c r="AZ32">
        <v>1</v>
      </c>
      <c r="BA32">
        <v>1</v>
      </c>
      <c r="BB32">
        <v>1</v>
      </c>
      <c r="BC32">
        <v>1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4</v>
      </c>
      <c r="BJ32" t="s">
        <v>55</v>
      </c>
      <c r="BM32">
        <v>0</v>
      </c>
      <c r="BN32">
        <v>0</v>
      </c>
      <c r="BO32" t="s">
        <v>3</v>
      </c>
      <c r="BP32">
        <v>0</v>
      </c>
      <c r="BQ32">
        <v>1</v>
      </c>
      <c r="BR32">
        <v>0</v>
      </c>
      <c r="BS32">
        <v>1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70</v>
      </c>
      <c r="CA32">
        <v>0</v>
      </c>
      <c r="CE32">
        <v>0</v>
      </c>
      <c r="CF32">
        <v>0</v>
      </c>
      <c r="CG32">
        <v>0</v>
      </c>
      <c r="CM32">
        <v>0</v>
      </c>
      <c r="CN32" t="s">
        <v>3</v>
      </c>
      <c r="CO32">
        <v>0</v>
      </c>
      <c r="CP32">
        <f t="shared" si="30"/>
        <v>294306.95</v>
      </c>
      <c r="CQ32">
        <f t="shared" si="31"/>
        <v>31711.759999999998</v>
      </c>
      <c r="CR32">
        <f>((((ET32)*BB32-(EU32)*BS32)+AE32*BS32)*AV32)</f>
        <v>0</v>
      </c>
      <c r="CS32">
        <f t="shared" si="32"/>
        <v>0</v>
      </c>
      <c r="CT32">
        <f t="shared" si="33"/>
        <v>10332.09</v>
      </c>
      <c r="CU32">
        <f t="shared" si="34"/>
        <v>0</v>
      </c>
      <c r="CV32">
        <f t="shared" si="35"/>
        <v>44.85</v>
      </c>
      <c r="CW32">
        <f t="shared" si="36"/>
        <v>0</v>
      </c>
      <c r="CX32">
        <f t="shared" si="37"/>
        <v>0</v>
      </c>
      <c r="CY32">
        <f t="shared" si="38"/>
        <v>50627.241000000009</v>
      </c>
      <c r="CZ32">
        <f t="shared" si="39"/>
        <v>0</v>
      </c>
      <c r="DC32" t="s">
        <v>3</v>
      </c>
      <c r="DD32" t="s">
        <v>3</v>
      </c>
      <c r="DE32" t="s">
        <v>3</v>
      </c>
      <c r="DF32" t="s">
        <v>3</v>
      </c>
      <c r="DG32" t="s">
        <v>3</v>
      </c>
      <c r="DH32" t="s">
        <v>3</v>
      </c>
      <c r="DI32" t="s">
        <v>3</v>
      </c>
      <c r="DJ32" t="s">
        <v>3</v>
      </c>
      <c r="DK32" t="s">
        <v>3</v>
      </c>
      <c r="DL32" t="s">
        <v>3</v>
      </c>
      <c r="DM32" t="s">
        <v>3</v>
      </c>
      <c r="DN32">
        <v>0</v>
      </c>
      <c r="DO32">
        <v>0</v>
      </c>
      <c r="DP32">
        <v>1</v>
      </c>
      <c r="DQ32">
        <v>1</v>
      </c>
      <c r="DU32">
        <v>1005</v>
      </c>
      <c r="DV32" t="s">
        <v>17</v>
      </c>
      <c r="DW32" t="s">
        <v>17</v>
      </c>
      <c r="DX32">
        <v>100</v>
      </c>
      <c r="EE32">
        <v>46228058</v>
      </c>
      <c r="EF32">
        <v>1</v>
      </c>
      <c r="EG32" t="s">
        <v>19</v>
      </c>
      <c r="EH32">
        <v>0</v>
      </c>
      <c r="EI32" t="s">
        <v>3</v>
      </c>
      <c r="EJ32">
        <v>4</v>
      </c>
      <c r="EK32">
        <v>0</v>
      </c>
      <c r="EL32" t="s">
        <v>20</v>
      </c>
      <c r="EM32" t="s">
        <v>21</v>
      </c>
      <c r="EO32" t="s">
        <v>3</v>
      </c>
      <c r="EQ32">
        <v>0</v>
      </c>
      <c r="ER32">
        <v>42043.85</v>
      </c>
      <c r="ES32">
        <v>31711.759999999998</v>
      </c>
      <c r="ET32">
        <v>0</v>
      </c>
      <c r="EU32">
        <v>0</v>
      </c>
      <c r="EV32">
        <v>10332.09</v>
      </c>
      <c r="EW32">
        <v>44.85</v>
      </c>
      <c r="EX32">
        <v>0</v>
      </c>
      <c r="EY32">
        <v>0</v>
      </c>
      <c r="FQ32">
        <v>0</v>
      </c>
      <c r="FR32">
        <f t="shared" si="40"/>
        <v>0</v>
      </c>
      <c r="FS32">
        <v>0</v>
      </c>
      <c r="FX32">
        <v>70</v>
      </c>
      <c r="FY32">
        <v>0</v>
      </c>
      <c r="GA32" t="s">
        <v>3</v>
      </c>
      <c r="GD32">
        <v>0</v>
      </c>
      <c r="GF32">
        <v>-704613585</v>
      </c>
      <c r="GG32">
        <v>2</v>
      </c>
      <c r="GH32">
        <v>1</v>
      </c>
      <c r="GI32">
        <v>-2</v>
      </c>
      <c r="GJ32">
        <v>0</v>
      </c>
      <c r="GK32">
        <f>ROUND(R32*(R12)/100,2)</f>
        <v>0</v>
      </c>
      <c r="GL32">
        <f t="shared" si="41"/>
        <v>0</v>
      </c>
      <c r="GM32">
        <f>ROUND(O32+X32+Y32+GK32,2)+GX32</f>
        <v>344934.19</v>
      </c>
      <c r="GN32">
        <f>IF(OR(BI32=0,BI32=1),ROUND(O32+X32+Y32+GK32,2),0)</f>
        <v>0</v>
      </c>
      <c r="GO32">
        <f>IF(BI32=2,ROUND(O32+X32+Y32+GK32,2),0)</f>
        <v>0</v>
      </c>
      <c r="GP32">
        <f>IF(BI32=4,ROUND(O32+X32+Y32+GK32,2)+GX32,0)</f>
        <v>344934.19</v>
      </c>
      <c r="GR32">
        <v>0</v>
      </c>
      <c r="GS32">
        <v>3</v>
      </c>
      <c r="GT32">
        <v>0</v>
      </c>
      <c r="GU32" t="s">
        <v>3</v>
      </c>
      <c r="GV32">
        <f>ROUND((GT32),6)</f>
        <v>0</v>
      </c>
      <c r="GW32">
        <v>1</v>
      </c>
      <c r="GX32">
        <f t="shared" si="42"/>
        <v>0</v>
      </c>
      <c r="HA32">
        <v>0</v>
      </c>
      <c r="HB32">
        <v>0</v>
      </c>
      <c r="HC32">
        <f t="shared" si="43"/>
        <v>0</v>
      </c>
      <c r="IK32">
        <v>0</v>
      </c>
    </row>
    <row r="33" spans="1:245" x14ac:dyDescent="0.2">
      <c r="A33">
        <v>17</v>
      </c>
      <c r="B33">
        <v>1</v>
      </c>
      <c r="C33">
        <f>ROW(SmtRes!A23)</f>
        <v>23</v>
      </c>
      <c r="D33">
        <f>ROW(EtalonRes!A23)</f>
        <v>23</v>
      </c>
      <c r="E33" t="s">
        <v>56</v>
      </c>
      <c r="F33" t="s">
        <v>57</v>
      </c>
      <c r="G33" t="s">
        <v>58</v>
      </c>
      <c r="H33" t="s">
        <v>17</v>
      </c>
      <c r="I33">
        <f>ROUND(200/100,9)</f>
        <v>2</v>
      </c>
      <c r="J33">
        <v>0</v>
      </c>
      <c r="O33">
        <f t="shared" si="14"/>
        <v>175826.92</v>
      </c>
      <c r="P33">
        <f t="shared" si="15"/>
        <v>145625.42000000001</v>
      </c>
      <c r="Q33">
        <f t="shared" si="16"/>
        <v>0</v>
      </c>
      <c r="R33">
        <f t="shared" si="17"/>
        <v>0</v>
      </c>
      <c r="S33">
        <f t="shared" si="18"/>
        <v>30201.5</v>
      </c>
      <c r="T33">
        <f t="shared" si="19"/>
        <v>0</v>
      </c>
      <c r="U33">
        <f t="shared" si="20"/>
        <v>131.1</v>
      </c>
      <c r="V33">
        <f t="shared" si="21"/>
        <v>0</v>
      </c>
      <c r="W33">
        <f t="shared" si="22"/>
        <v>0</v>
      </c>
      <c r="X33">
        <f t="shared" si="23"/>
        <v>21141.05</v>
      </c>
      <c r="Y33">
        <f t="shared" si="24"/>
        <v>0</v>
      </c>
      <c r="AA33">
        <v>46983916</v>
      </c>
      <c r="AB33">
        <f t="shared" si="25"/>
        <v>87913.46</v>
      </c>
      <c r="AC33">
        <f>ROUND((ES33),6)</f>
        <v>72812.710000000006</v>
      </c>
      <c r="AD33">
        <f>ROUND((((ET33)-(EU33))+AE33),6)</f>
        <v>0</v>
      </c>
      <c r="AE33">
        <f t="shared" si="44"/>
        <v>0</v>
      </c>
      <c r="AF33">
        <f t="shared" si="44"/>
        <v>15100.75</v>
      </c>
      <c r="AG33">
        <f t="shared" si="27"/>
        <v>0</v>
      </c>
      <c r="AH33">
        <f t="shared" si="45"/>
        <v>65.55</v>
      </c>
      <c r="AI33">
        <f t="shared" si="45"/>
        <v>0</v>
      </c>
      <c r="AJ33">
        <f t="shared" si="29"/>
        <v>0</v>
      </c>
      <c r="AK33">
        <v>87913.46</v>
      </c>
      <c r="AL33">
        <v>72812.710000000006</v>
      </c>
      <c r="AM33">
        <v>0</v>
      </c>
      <c r="AN33">
        <v>0</v>
      </c>
      <c r="AO33">
        <v>15100.75</v>
      </c>
      <c r="AP33">
        <v>0</v>
      </c>
      <c r="AQ33">
        <v>65.55</v>
      </c>
      <c r="AR33">
        <v>0</v>
      </c>
      <c r="AS33">
        <v>0</v>
      </c>
      <c r="AT33">
        <v>70</v>
      </c>
      <c r="AU33">
        <v>0</v>
      </c>
      <c r="AV33">
        <v>1</v>
      </c>
      <c r="AW33">
        <v>1</v>
      </c>
      <c r="AZ33">
        <v>1</v>
      </c>
      <c r="BA33">
        <v>1</v>
      </c>
      <c r="BB33">
        <v>1</v>
      </c>
      <c r="BC33">
        <v>1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4</v>
      </c>
      <c r="BJ33" t="s">
        <v>59</v>
      </c>
      <c r="BM33">
        <v>0</v>
      </c>
      <c r="BN33">
        <v>0</v>
      </c>
      <c r="BO33" t="s">
        <v>3</v>
      </c>
      <c r="BP33">
        <v>0</v>
      </c>
      <c r="BQ33">
        <v>1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70</v>
      </c>
      <c r="CA33">
        <v>0</v>
      </c>
      <c r="CE33">
        <v>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0"/>
        <v>175826.92</v>
      </c>
      <c r="CQ33">
        <f t="shared" si="31"/>
        <v>72812.710000000006</v>
      </c>
      <c r="CR33">
        <f>((((ET33)*BB33-(EU33)*BS33)+AE33*BS33)*AV33)</f>
        <v>0</v>
      </c>
      <c r="CS33">
        <f t="shared" si="32"/>
        <v>0</v>
      </c>
      <c r="CT33">
        <f t="shared" si="33"/>
        <v>15100.75</v>
      </c>
      <c r="CU33">
        <f t="shared" si="34"/>
        <v>0</v>
      </c>
      <c r="CV33">
        <f t="shared" si="35"/>
        <v>65.55</v>
      </c>
      <c r="CW33">
        <f t="shared" si="36"/>
        <v>0</v>
      </c>
      <c r="CX33">
        <f t="shared" si="37"/>
        <v>0</v>
      </c>
      <c r="CY33">
        <f t="shared" si="38"/>
        <v>21141.05</v>
      </c>
      <c r="CZ33">
        <f t="shared" si="39"/>
        <v>0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1005</v>
      </c>
      <c r="DV33" t="s">
        <v>17</v>
      </c>
      <c r="DW33" t="s">
        <v>17</v>
      </c>
      <c r="DX33">
        <v>100</v>
      </c>
      <c r="EE33">
        <v>46228058</v>
      </c>
      <c r="EF33">
        <v>1</v>
      </c>
      <c r="EG33" t="s">
        <v>19</v>
      </c>
      <c r="EH33">
        <v>0</v>
      </c>
      <c r="EI33" t="s">
        <v>3</v>
      </c>
      <c r="EJ33">
        <v>4</v>
      </c>
      <c r="EK33">
        <v>0</v>
      </c>
      <c r="EL33" t="s">
        <v>20</v>
      </c>
      <c r="EM33" t="s">
        <v>21</v>
      </c>
      <c r="EO33" t="s">
        <v>3</v>
      </c>
      <c r="EQ33">
        <v>0</v>
      </c>
      <c r="ER33">
        <v>87913.46</v>
      </c>
      <c r="ES33">
        <v>72812.710000000006</v>
      </c>
      <c r="ET33">
        <v>0</v>
      </c>
      <c r="EU33">
        <v>0</v>
      </c>
      <c r="EV33">
        <v>15100.75</v>
      </c>
      <c r="EW33">
        <v>65.55</v>
      </c>
      <c r="EX33">
        <v>0</v>
      </c>
      <c r="EY33">
        <v>0</v>
      </c>
      <c r="FQ33">
        <v>0</v>
      </c>
      <c r="FR33">
        <f t="shared" si="40"/>
        <v>0</v>
      </c>
      <c r="FS33">
        <v>0</v>
      </c>
      <c r="FX33">
        <v>70</v>
      </c>
      <c r="FY33">
        <v>0</v>
      </c>
      <c r="GA33" t="s">
        <v>3</v>
      </c>
      <c r="GD33">
        <v>0</v>
      </c>
      <c r="GF33">
        <v>325445230</v>
      </c>
      <c r="GG33">
        <v>2</v>
      </c>
      <c r="GH33">
        <v>1</v>
      </c>
      <c r="GI33">
        <v>-2</v>
      </c>
      <c r="GJ33">
        <v>0</v>
      </c>
      <c r="GK33">
        <f>ROUND(R33*(R12)/100,2)</f>
        <v>0</v>
      </c>
      <c r="GL33">
        <f t="shared" si="41"/>
        <v>0</v>
      </c>
      <c r="GM33">
        <f>ROUND(O33+X33+Y33+GK33,2)+GX33</f>
        <v>196967.97</v>
      </c>
      <c r="GN33">
        <f>IF(OR(BI33=0,BI33=1),ROUND(O33+X33+Y33+GK33,2),0)</f>
        <v>0</v>
      </c>
      <c r="GO33">
        <f>IF(BI33=2,ROUND(O33+X33+Y33+GK33,2),0)</f>
        <v>0</v>
      </c>
      <c r="GP33">
        <f>IF(BI33=4,ROUND(O33+X33+Y33+GK33,2)+GX33,0)</f>
        <v>196967.97</v>
      </c>
      <c r="GR33">
        <v>0</v>
      </c>
      <c r="GS33">
        <v>3</v>
      </c>
      <c r="GT33">
        <v>0</v>
      </c>
      <c r="GU33" t="s">
        <v>3</v>
      </c>
      <c r="GV33">
        <f>ROUND((GT33),6)</f>
        <v>0</v>
      </c>
      <c r="GW33">
        <v>1</v>
      </c>
      <c r="GX33">
        <f t="shared" si="42"/>
        <v>0</v>
      </c>
      <c r="HA33">
        <v>0</v>
      </c>
      <c r="HB33">
        <v>0</v>
      </c>
      <c r="HC33">
        <f t="shared" si="43"/>
        <v>0</v>
      </c>
      <c r="IK33">
        <v>0</v>
      </c>
    </row>
    <row r="34" spans="1:245" x14ac:dyDescent="0.2">
      <c r="A34">
        <v>17</v>
      </c>
      <c r="B34">
        <v>1</v>
      </c>
      <c r="C34">
        <f>ROW(SmtRes!A28)</f>
        <v>28</v>
      </c>
      <c r="D34">
        <f>ROW(EtalonRes!A29)</f>
        <v>29</v>
      </c>
      <c r="E34" t="s">
        <v>60</v>
      </c>
      <c r="F34" t="s">
        <v>61</v>
      </c>
      <c r="G34" t="s">
        <v>62</v>
      </c>
      <c r="H34" t="s">
        <v>17</v>
      </c>
      <c r="I34">
        <f>ROUND(I24/100,9)</f>
        <v>8.36</v>
      </c>
      <c r="J34">
        <v>0</v>
      </c>
      <c r="O34">
        <f t="shared" si="14"/>
        <v>1182306.48</v>
      </c>
      <c r="P34">
        <f t="shared" si="15"/>
        <v>261989.27</v>
      </c>
      <c r="Q34">
        <f t="shared" si="16"/>
        <v>34040.92</v>
      </c>
      <c r="R34">
        <f t="shared" si="17"/>
        <v>9888.9599999999991</v>
      </c>
      <c r="S34">
        <f t="shared" si="18"/>
        <v>886276.29</v>
      </c>
      <c r="T34">
        <f t="shared" si="19"/>
        <v>0</v>
      </c>
      <c r="U34">
        <f t="shared" si="20"/>
        <v>3778.3019999999997</v>
      </c>
      <c r="V34">
        <f t="shared" si="21"/>
        <v>0</v>
      </c>
      <c r="W34">
        <f t="shared" si="22"/>
        <v>0</v>
      </c>
      <c r="X34">
        <f t="shared" si="23"/>
        <v>620393.4</v>
      </c>
      <c r="Y34">
        <f t="shared" si="24"/>
        <v>0</v>
      </c>
      <c r="AA34">
        <v>46983916</v>
      </c>
      <c r="AB34">
        <f t="shared" si="25"/>
        <v>141424.22</v>
      </c>
      <c r="AC34">
        <f>ROUND((ES34),6)</f>
        <v>31338.43</v>
      </c>
      <c r="AD34">
        <f>ROUND((((ET34)-(EU34))+AE34),6)</f>
        <v>4071.88</v>
      </c>
      <c r="AE34">
        <f t="shared" si="44"/>
        <v>1182.8900000000001</v>
      </c>
      <c r="AF34">
        <f t="shared" si="44"/>
        <v>106013.91</v>
      </c>
      <c r="AG34">
        <f t="shared" si="27"/>
        <v>0</v>
      </c>
      <c r="AH34">
        <f t="shared" si="45"/>
        <v>451.95</v>
      </c>
      <c r="AI34">
        <f t="shared" si="45"/>
        <v>0</v>
      </c>
      <c r="AJ34">
        <f t="shared" si="29"/>
        <v>0</v>
      </c>
      <c r="AK34">
        <v>141424.22</v>
      </c>
      <c r="AL34">
        <v>31338.43</v>
      </c>
      <c r="AM34">
        <v>4071.88</v>
      </c>
      <c r="AN34">
        <v>1182.8900000000001</v>
      </c>
      <c r="AO34">
        <v>106013.91</v>
      </c>
      <c r="AP34">
        <v>0</v>
      </c>
      <c r="AQ34">
        <v>451.95</v>
      </c>
      <c r="AR34">
        <v>0</v>
      </c>
      <c r="AS34">
        <v>0</v>
      </c>
      <c r="AT34">
        <v>70</v>
      </c>
      <c r="AU34">
        <v>0</v>
      </c>
      <c r="AV34">
        <v>1</v>
      </c>
      <c r="AW34">
        <v>1</v>
      </c>
      <c r="AZ34">
        <v>1</v>
      </c>
      <c r="BA34">
        <v>1</v>
      </c>
      <c r="BB34">
        <v>1</v>
      </c>
      <c r="BC34">
        <v>1</v>
      </c>
      <c r="BD34" t="s">
        <v>3</v>
      </c>
      <c r="BE34" t="s">
        <v>3</v>
      </c>
      <c r="BF34" t="s">
        <v>3</v>
      </c>
      <c r="BG34" t="s">
        <v>3</v>
      </c>
      <c r="BH34">
        <v>0</v>
      </c>
      <c r="BI34">
        <v>4</v>
      </c>
      <c r="BJ34" t="s">
        <v>63</v>
      </c>
      <c r="BM34">
        <v>0</v>
      </c>
      <c r="BN34">
        <v>0</v>
      </c>
      <c r="BO34" t="s">
        <v>3</v>
      </c>
      <c r="BP34">
        <v>0</v>
      </c>
      <c r="BQ34">
        <v>1</v>
      </c>
      <c r="BR34">
        <v>0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70</v>
      </c>
      <c r="CA34">
        <v>0</v>
      </c>
      <c r="CE34">
        <v>0</v>
      </c>
      <c r="CF34">
        <v>0</v>
      </c>
      <c r="CG34">
        <v>0</v>
      </c>
      <c r="CM34">
        <v>0</v>
      </c>
      <c r="CN34" t="s">
        <v>3</v>
      </c>
      <c r="CO34">
        <v>0</v>
      </c>
      <c r="CP34">
        <f t="shared" si="30"/>
        <v>1182306.48</v>
      </c>
      <c r="CQ34">
        <f t="shared" si="31"/>
        <v>31338.43</v>
      </c>
      <c r="CR34">
        <f>((((ET34)*BB34-(EU34)*BS34)+AE34*BS34)*AV34)</f>
        <v>4071.88</v>
      </c>
      <c r="CS34">
        <f t="shared" si="32"/>
        <v>1182.8900000000001</v>
      </c>
      <c r="CT34">
        <f t="shared" si="33"/>
        <v>106013.91</v>
      </c>
      <c r="CU34">
        <f t="shared" si="34"/>
        <v>0</v>
      </c>
      <c r="CV34">
        <f t="shared" si="35"/>
        <v>451.95</v>
      </c>
      <c r="CW34">
        <f t="shared" si="36"/>
        <v>0</v>
      </c>
      <c r="CX34">
        <f t="shared" si="37"/>
        <v>0</v>
      </c>
      <c r="CY34">
        <f t="shared" si="38"/>
        <v>620393.40300000005</v>
      </c>
      <c r="CZ34">
        <f t="shared" si="39"/>
        <v>0</v>
      </c>
      <c r="DC34" t="s">
        <v>3</v>
      </c>
      <c r="DD34" t="s">
        <v>3</v>
      </c>
      <c r="DE34" t="s">
        <v>3</v>
      </c>
      <c r="DF34" t="s">
        <v>3</v>
      </c>
      <c r="DG34" t="s">
        <v>3</v>
      </c>
      <c r="DH34" t="s">
        <v>3</v>
      </c>
      <c r="DI34" t="s">
        <v>3</v>
      </c>
      <c r="DJ34" t="s">
        <v>3</v>
      </c>
      <c r="DK34" t="s">
        <v>3</v>
      </c>
      <c r="DL34" t="s">
        <v>3</v>
      </c>
      <c r="DM34" t="s">
        <v>3</v>
      </c>
      <c r="DN34">
        <v>0</v>
      </c>
      <c r="DO34">
        <v>0</v>
      </c>
      <c r="DP34">
        <v>1</v>
      </c>
      <c r="DQ34">
        <v>1</v>
      </c>
      <c r="DU34">
        <v>1005</v>
      </c>
      <c r="DV34" t="s">
        <v>17</v>
      </c>
      <c r="DW34" t="s">
        <v>17</v>
      </c>
      <c r="DX34">
        <v>100</v>
      </c>
      <c r="EE34">
        <v>46228058</v>
      </c>
      <c r="EF34">
        <v>1</v>
      </c>
      <c r="EG34" t="s">
        <v>19</v>
      </c>
      <c r="EH34">
        <v>0</v>
      </c>
      <c r="EI34" t="s">
        <v>3</v>
      </c>
      <c r="EJ34">
        <v>4</v>
      </c>
      <c r="EK34">
        <v>0</v>
      </c>
      <c r="EL34" t="s">
        <v>20</v>
      </c>
      <c r="EM34" t="s">
        <v>21</v>
      </c>
      <c r="EO34" t="s">
        <v>3</v>
      </c>
      <c r="EQ34">
        <v>0</v>
      </c>
      <c r="ER34">
        <v>141424.22</v>
      </c>
      <c r="ES34">
        <v>31338.43</v>
      </c>
      <c r="ET34">
        <v>4071.88</v>
      </c>
      <c r="EU34">
        <v>1182.8900000000001</v>
      </c>
      <c r="EV34">
        <v>106013.91</v>
      </c>
      <c r="EW34">
        <v>451.95</v>
      </c>
      <c r="EX34">
        <v>0</v>
      </c>
      <c r="EY34">
        <v>0</v>
      </c>
      <c r="FQ34">
        <v>0</v>
      </c>
      <c r="FR34">
        <f t="shared" si="40"/>
        <v>0</v>
      </c>
      <c r="FS34">
        <v>0</v>
      </c>
      <c r="FX34">
        <v>70</v>
      </c>
      <c r="FY34">
        <v>0</v>
      </c>
      <c r="GA34" t="s">
        <v>3</v>
      </c>
      <c r="GD34">
        <v>0</v>
      </c>
      <c r="GF34">
        <v>1888944969</v>
      </c>
      <c r="GG34">
        <v>2</v>
      </c>
      <c r="GH34">
        <v>1</v>
      </c>
      <c r="GI34">
        <v>-2</v>
      </c>
      <c r="GJ34">
        <v>0</v>
      </c>
      <c r="GK34">
        <f>ROUND(R34*(R12)/100,2)</f>
        <v>7713.39</v>
      </c>
      <c r="GL34">
        <f t="shared" si="41"/>
        <v>0</v>
      </c>
      <c r="GM34">
        <f>ROUND(O34+X34+Y34+GK34,2)+GX34</f>
        <v>1810413.27</v>
      </c>
      <c r="GN34">
        <f>IF(OR(BI34=0,BI34=1),ROUND(O34+X34+Y34+GK34,2),0)</f>
        <v>0</v>
      </c>
      <c r="GO34">
        <f>IF(BI34=2,ROUND(O34+X34+Y34+GK34,2),0)</f>
        <v>0</v>
      </c>
      <c r="GP34">
        <f>IF(BI34=4,ROUND(O34+X34+Y34+GK34,2)+GX34,0)</f>
        <v>1810413.27</v>
      </c>
      <c r="GR34">
        <v>0</v>
      </c>
      <c r="GS34">
        <v>3</v>
      </c>
      <c r="GT34">
        <v>0</v>
      </c>
      <c r="GU34" t="s">
        <v>3</v>
      </c>
      <c r="GV34">
        <f>ROUND((GT34),6)</f>
        <v>0</v>
      </c>
      <c r="GW34">
        <v>1</v>
      </c>
      <c r="GX34">
        <f t="shared" si="42"/>
        <v>0</v>
      </c>
      <c r="HA34">
        <v>0</v>
      </c>
      <c r="HB34">
        <v>0</v>
      </c>
      <c r="HC34">
        <f t="shared" si="43"/>
        <v>0</v>
      </c>
      <c r="IK34">
        <v>0</v>
      </c>
    </row>
    <row r="36" spans="1:245" x14ac:dyDescent="0.2">
      <c r="A36" s="2">
        <v>51</v>
      </c>
      <c r="B36" s="2">
        <f>B20</f>
        <v>1</v>
      </c>
      <c r="C36" s="2">
        <f>A20</f>
        <v>3</v>
      </c>
      <c r="D36" s="2">
        <f>ROW(A20)</f>
        <v>20</v>
      </c>
      <c r="E36" s="2"/>
      <c r="F36" s="2" t="str">
        <f>IF(F20&lt;&gt;"",F20,"")</f>
        <v>Новая локальная смета</v>
      </c>
      <c r="G36" s="2" t="str">
        <f>IF(G20&lt;&gt;"",G20,"")</f>
        <v>Новая локальная смета</v>
      </c>
      <c r="H36" s="2">
        <v>0</v>
      </c>
      <c r="I36" s="2"/>
      <c r="J36" s="2"/>
      <c r="K36" s="2"/>
      <c r="L36" s="2"/>
      <c r="M36" s="2"/>
      <c r="N36" s="2"/>
      <c r="O36" s="2">
        <f t="shared" ref="O36:T36" si="46">ROUND(AB36,2)</f>
        <v>2253055.52</v>
      </c>
      <c r="P36" s="2">
        <f t="shared" si="46"/>
        <v>1079008.25</v>
      </c>
      <c r="Q36" s="2">
        <f t="shared" si="46"/>
        <v>150579.16</v>
      </c>
      <c r="R36" s="2">
        <f t="shared" si="46"/>
        <v>74489.13</v>
      </c>
      <c r="S36" s="2">
        <f t="shared" si="46"/>
        <v>1023468.11</v>
      </c>
      <c r="T36" s="2">
        <f t="shared" si="46"/>
        <v>0</v>
      </c>
      <c r="U36" s="2">
        <f>AH36</f>
        <v>4425.0309999999999</v>
      </c>
      <c r="V36" s="2">
        <f>AI36</f>
        <v>0</v>
      </c>
      <c r="W36" s="2">
        <f>ROUND(AJ36,2)</f>
        <v>0</v>
      </c>
      <c r="X36" s="2">
        <f>ROUND(AK36,2)</f>
        <v>716427.67</v>
      </c>
      <c r="Y36" s="2">
        <f>ROUND(AL36,2)</f>
        <v>0</v>
      </c>
      <c r="Z36" s="2"/>
      <c r="AA36" s="2"/>
      <c r="AB36" s="2">
        <f>ROUND(SUMIF(AA24:AA34,"=46983916",O24:O34),2)</f>
        <v>2253055.52</v>
      </c>
      <c r="AC36" s="2">
        <f>ROUND(SUMIF(AA24:AA34,"=46983916",P24:P34),2)</f>
        <v>1079008.25</v>
      </c>
      <c r="AD36" s="2">
        <f>ROUND(SUMIF(AA24:AA34,"=46983916",Q24:Q34),2)</f>
        <v>150579.16</v>
      </c>
      <c r="AE36" s="2">
        <f>ROUND(SUMIF(AA24:AA34,"=46983916",R24:R34),2)</f>
        <v>74489.13</v>
      </c>
      <c r="AF36" s="2">
        <f>ROUND(SUMIF(AA24:AA34,"=46983916",S24:S34),2)</f>
        <v>1023468.11</v>
      </c>
      <c r="AG36" s="2">
        <f>ROUND(SUMIF(AA24:AA34,"=46983916",T24:T34),2)</f>
        <v>0</v>
      </c>
      <c r="AH36" s="2">
        <f>SUMIF(AA24:AA34,"=46983916",U24:U34)</f>
        <v>4425.0309999999999</v>
      </c>
      <c r="AI36" s="2">
        <f>SUMIF(AA24:AA34,"=46983916",V24:V34)</f>
        <v>0</v>
      </c>
      <c r="AJ36" s="2">
        <f>ROUND(SUMIF(AA24:AA34,"=46983916",W24:W34),2)</f>
        <v>0</v>
      </c>
      <c r="AK36" s="2">
        <f>ROUND(SUMIF(AA24:AA34,"=46983916",X24:X34),2)</f>
        <v>716427.67</v>
      </c>
      <c r="AL36" s="2">
        <f>ROUND(SUMIF(AA24:AA34,"=46983916",Y24:Y34),2)</f>
        <v>0</v>
      </c>
      <c r="AM36" s="2"/>
      <c r="AN36" s="2"/>
      <c r="AO36" s="2">
        <f t="shared" ref="AO36:BD36" si="47">ROUND(BX36,2)</f>
        <v>0</v>
      </c>
      <c r="AP36" s="2">
        <f t="shared" si="47"/>
        <v>0</v>
      </c>
      <c r="AQ36" s="2">
        <f t="shared" si="47"/>
        <v>0</v>
      </c>
      <c r="AR36" s="2">
        <f t="shared" si="47"/>
        <v>2981471.21</v>
      </c>
      <c r="AS36" s="2">
        <f t="shared" si="47"/>
        <v>0</v>
      </c>
      <c r="AT36" s="2">
        <f t="shared" si="47"/>
        <v>0</v>
      </c>
      <c r="AU36" s="2">
        <f t="shared" si="47"/>
        <v>2981471.21</v>
      </c>
      <c r="AV36" s="2">
        <f t="shared" si="47"/>
        <v>1079008.25</v>
      </c>
      <c r="AW36" s="2">
        <f t="shared" si="47"/>
        <v>1079008.25</v>
      </c>
      <c r="AX36" s="2">
        <f t="shared" si="47"/>
        <v>0</v>
      </c>
      <c r="AY36" s="2">
        <f t="shared" si="47"/>
        <v>1079008.25</v>
      </c>
      <c r="AZ36" s="2">
        <f t="shared" si="47"/>
        <v>0</v>
      </c>
      <c r="BA36" s="2">
        <f t="shared" si="47"/>
        <v>0</v>
      </c>
      <c r="BB36" s="2">
        <f t="shared" si="47"/>
        <v>0</v>
      </c>
      <c r="BC36" s="2">
        <f t="shared" si="47"/>
        <v>0</v>
      </c>
      <c r="BD36" s="2">
        <f t="shared" si="47"/>
        <v>0</v>
      </c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>
        <f>ROUND(SUMIF(AA24:AA34,"=46983916",FQ24:FQ34),2)</f>
        <v>0</v>
      </c>
      <c r="BY36" s="2">
        <f>ROUND(SUMIF(AA24:AA34,"=46983916",FR24:FR34),2)</f>
        <v>0</v>
      </c>
      <c r="BZ36" s="2">
        <f>ROUND(SUMIF(AA24:AA34,"=46983916",GL24:GL34),2)</f>
        <v>0</v>
      </c>
      <c r="CA36" s="2">
        <f>ROUND(SUMIF(AA24:AA34,"=46983916",GM24:GM34),2)</f>
        <v>2981471.21</v>
      </c>
      <c r="CB36" s="2">
        <f>ROUND(SUMIF(AA24:AA34,"=46983916",GN24:GN34),2)</f>
        <v>0</v>
      </c>
      <c r="CC36" s="2">
        <f>ROUND(SUMIF(AA24:AA34,"=46983916",GO24:GO34),2)</f>
        <v>0</v>
      </c>
      <c r="CD36" s="2">
        <f>ROUND(SUMIF(AA24:AA34,"=46983916",GP24:GP34),2)</f>
        <v>2981471.21</v>
      </c>
      <c r="CE36" s="2">
        <f>AC36-BX36</f>
        <v>1079008.25</v>
      </c>
      <c r="CF36" s="2">
        <f>AC36-BY36</f>
        <v>1079008.25</v>
      </c>
      <c r="CG36" s="2">
        <f>BX36-BZ36</f>
        <v>0</v>
      </c>
      <c r="CH36" s="2">
        <f>AC36-BX36-BY36+BZ36</f>
        <v>1079008.25</v>
      </c>
      <c r="CI36" s="2">
        <f>BY36-BZ36</f>
        <v>0</v>
      </c>
      <c r="CJ36" s="2">
        <f>ROUND(SUMIF(AA24:AA34,"=46983916",GX24:GX34),2)</f>
        <v>0</v>
      </c>
      <c r="CK36" s="2">
        <f>ROUND(SUMIF(AA24:AA34,"=46983916",GY24:GY34),2)</f>
        <v>0</v>
      </c>
      <c r="CL36" s="2">
        <f>ROUND(SUMIF(AA24:AA34,"=46983916",GZ24:GZ34),2)</f>
        <v>0</v>
      </c>
      <c r="CM36" s="2">
        <f>ROUND(SUMIF(AA24:AA34,"=46983916",HD24:HD34),2)</f>
        <v>0</v>
      </c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>
        <v>0</v>
      </c>
    </row>
    <row r="38" spans="1:245" x14ac:dyDescent="0.2">
      <c r="A38" s="4">
        <v>50</v>
      </c>
      <c r="B38" s="4">
        <v>0</v>
      </c>
      <c r="C38" s="4">
        <v>0</v>
      </c>
      <c r="D38" s="4">
        <v>1</v>
      </c>
      <c r="E38" s="4">
        <v>201</v>
      </c>
      <c r="F38" s="4">
        <f>ROUND(Source!O36,O38)</f>
        <v>2253055.52</v>
      </c>
      <c r="G38" s="4" t="s">
        <v>64</v>
      </c>
      <c r="H38" s="4" t="s">
        <v>65</v>
      </c>
      <c r="I38" s="4"/>
      <c r="J38" s="4"/>
      <c r="K38" s="4">
        <v>201</v>
      </c>
      <c r="L38" s="4">
        <v>1</v>
      </c>
      <c r="M38" s="4">
        <v>3</v>
      </c>
      <c r="N38" s="4" t="s">
        <v>3</v>
      </c>
      <c r="O38" s="4">
        <v>2</v>
      </c>
      <c r="P38" s="4"/>
      <c r="Q38" s="4"/>
      <c r="R38" s="4"/>
      <c r="S38" s="4"/>
      <c r="T38" s="4"/>
      <c r="U38" s="4"/>
      <c r="V38" s="4"/>
      <c r="W38" s="4"/>
    </row>
    <row r="39" spans="1:245" x14ac:dyDescent="0.2">
      <c r="A39" s="4">
        <v>50</v>
      </c>
      <c r="B39" s="4">
        <v>0</v>
      </c>
      <c r="C39" s="4">
        <v>0</v>
      </c>
      <c r="D39" s="4">
        <v>1</v>
      </c>
      <c r="E39" s="4">
        <v>202</v>
      </c>
      <c r="F39" s="4">
        <f>ROUND(Source!P36,O39)</f>
        <v>1079008.25</v>
      </c>
      <c r="G39" s="4" t="s">
        <v>66</v>
      </c>
      <c r="H39" s="4" t="s">
        <v>67</v>
      </c>
      <c r="I39" s="4"/>
      <c r="J39" s="4"/>
      <c r="K39" s="4">
        <v>202</v>
      </c>
      <c r="L39" s="4">
        <v>2</v>
      </c>
      <c r="M39" s="4">
        <v>3</v>
      </c>
      <c r="N39" s="4" t="s">
        <v>3</v>
      </c>
      <c r="O39" s="4">
        <v>2</v>
      </c>
      <c r="P39" s="4"/>
      <c r="Q39" s="4"/>
      <c r="R39" s="4"/>
      <c r="S39" s="4"/>
      <c r="T39" s="4"/>
      <c r="U39" s="4"/>
      <c r="V39" s="4"/>
      <c r="W39" s="4"/>
    </row>
    <row r="40" spans="1:245" x14ac:dyDescent="0.2">
      <c r="A40" s="4">
        <v>50</v>
      </c>
      <c r="B40" s="4">
        <v>0</v>
      </c>
      <c r="C40" s="4">
        <v>0</v>
      </c>
      <c r="D40" s="4">
        <v>1</v>
      </c>
      <c r="E40" s="4">
        <v>222</v>
      </c>
      <c r="F40" s="4">
        <f>ROUND(Source!AO36,O40)</f>
        <v>0</v>
      </c>
      <c r="G40" s="4" t="s">
        <v>68</v>
      </c>
      <c r="H40" s="4" t="s">
        <v>69</v>
      </c>
      <c r="I40" s="4"/>
      <c r="J40" s="4"/>
      <c r="K40" s="4">
        <v>222</v>
      </c>
      <c r="L40" s="4">
        <v>3</v>
      </c>
      <c r="M40" s="4">
        <v>3</v>
      </c>
      <c r="N40" s="4" t="s">
        <v>3</v>
      </c>
      <c r="O40" s="4">
        <v>2</v>
      </c>
      <c r="P40" s="4"/>
      <c r="Q40" s="4"/>
      <c r="R40" s="4"/>
      <c r="S40" s="4"/>
      <c r="T40" s="4"/>
      <c r="U40" s="4"/>
      <c r="V40" s="4"/>
      <c r="W40" s="4"/>
    </row>
    <row r="41" spans="1:245" x14ac:dyDescent="0.2">
      <c r="A41" s="4">
        <v>50</v>
      </c>
      <c r="B41" s="4">
        <v>0</v>
      </c>
      <c r="C41" s="4">
        <v>0</v>
      </c>
      <c r="D41" s="4">
        <v>1</v>
      </c>
      <c r="E41" s="4">
        <v>225</v>
      </c>
      <c r="F41" s="4">
        <f>ROUND(Source!AV36,O41)</f>
        <v>1079008.25</v>
      </c>
      <c r="G41" s="4" t="s">
        <v>70</v>
      </c>
      <c r="H41" s="4" t="s">
        <v>71</v>
      </c>
      <c r="I41" s="4"/>
      <c r="J41" s="4"/>
      <c r="K41" s="4">
        <v>225</v>
      </c>
      <c r="L41" s="4">
        <v>4</v>
      </c>
      <c r="M41" s="4">
        <v>3</v>
      </c>
      <c r="N41" s="4" t="s">
        <v>3</v>
      </c>
      <c r="O41" s="4">
        <v>2</v>
      </c>
      <c r="P41" s="4"/>
      <c r="Q41" s="4"/>
      <c r="R41" s="4"/>
      <c r="S41" s="4"/>
      <c r="T41" s="4"/>
      <c r="U41" s="4"/>
      <c r="V41" s="4"/>
      <c r="W41" s="4"/>
    </row>
    <row r="42" spans="1:245" x14ac:dyDescent="0.2">
      <c r="A42" s="4">
        <v>50</v>
      </c>
      <c r="B42" s="4">
        <v>0</v>
      </c>
      <c r="C42" s="4">
        <v>0</v>
      </c>
      <c r="D42" s="4">
        <v>1</v>
      </c>
      <c r="E42" s="4">
        <v>226</v>
      </c>
      <c r="F42" s="4">
        <f>ROUND(Source!AW36,O42)</f>
        <v>1079008.25</v>
      </c>
      <c r="G42" s="4" t="s">
        <v>72</v>
      </c>
      <c r="H42" s="4" t="s">
        <v>73</v>
      </c>
      <c r="I42" s="4"/>
      <c r="J42" s="4"/>
      <c r="K42" s="4">
        <v>226</v>
      </c>
      <c r="L42" s="4">
        <v>5</v>
      </c>
      <c r="M42" s="4">
        <v>3</v>
      </c>
      <c r="N42" s="4" t="s">
        <v>3</v>
      </c>
      <c r="O42" s="4">
        <v>2</v>
      </c>
      <c r="P42" s="4"/>
      <c r="Q42" s="4"/>
      <c r="R42" s="4"/>
      <c r="S42" s="4"/>
      <c r="T42" s="4"/>
      <c r="U42" s="4"/>
      <c r="V42" s="4"/>
      <c r="W42" s="4"/>
    </row>
    <row r="43" spans="1:245" x14ac:dyDescent="0.2">
      <c r="A43" s="4">
        <v>50</v>
      </c>
      <c r="B43" s="4">
        <v>0</v>
      </c>
      <c r="C43" s="4">
        <v>0</v>
      </c>
      <c r="D43" s="4">
        <v>1</v>
      </c>
      <c r="E43" s="4">
        <v>227</v>
      </c>
      <c r="F43" s="4">
        <f>ROUND(Source!AX36,O43)</f>
        <v>0</v>
      </c>
      <c r="G43" s="4" t="s">
        <v>74</v>
      </c>
      <c r="H43" s="4" t="s">
        <v>75</v>
      </c>
      <c r="I43" s="4"/>
      <c r="J43" s="4"/>
      <c r="K43" s="4">
        <v>227</v>
      </c>
      <c r="L43" s="4">
        <v>6</v>
      </c>
      <c r="M43" s="4">
        <v>3</v>
      </c>
      <c r="N43" s="4" t="s">
        <v>3</v>
      </c>
      <c r="O43" s="4">
        <v>2</v>
      </c>
      <c r="P43" s="4"/>
      <c r="Q43" s="4"/>
      <c r="R43" s="4"/>
      <c r="S43" s="4"/>
      <c r="T43" s="4"/>
      <c r="U43" s="4"/>
      <c r="V43" s="4"/>
      <c r="W43" s="4"/>
    </row>
    <row r="44" spans="1:245" x14ac:dyDescent="0.2">
      <c r="A44" s="4">
        <v>50</v>
      </c>
      <c r="B44" s="4">
        <v>0</v>
      </c>
      <c r="C44" s="4">
        <v>0</v>
      </c>
      <c r="D44" s="4">
        <v>1</v>
      </c>
      <c r="E44" s="4">
        <v>228</v>
      </c>
      <c r="F44" s="4">
        <f>ROUND(Source!AY36,O44)</f>
        <v>1079008.25</v>
      </c>
      <c r="G44" s="4" t="s">
        <v>76</v>
      </c>
      <c r="H44" s="4" t="s">
        <v>77</v>
      </c>
      <c r="I44" s="4"/>
      <c r="J44" s="4"/>
      <c r="K44" s="4">
        <v>228</v>
      </c>
      <c r="L44" s="4">
        <v>7</v>
      </c>
      <c r="M44" s="4">
        <v>3</v>
      </c>
      <c r="N44" s="4" t="s">
        <v>3</v>
      </c>
      <c r="O44" s="4">
        <v>2</v>
      </c>
      <c r="P44" s="4"/>
      <c r="Q44" s="4"/>
      <c r="R44" s="4"/>
      <c r="S44" s="4"/>
      <c r="T44" s="4"/>
      <c r="U44" s="4"/>
      <c r="V44" s="4"/>
      <c r="W44" s="4"/>
    </row>
    <row r="45" spans="1:245" x14ac:dyDescent="0.2">
      <c r="A45" s="4">
        <v>50</v>
      </c>
      <c r="B45" s="4">
        <v>0</v>
      </c>
      <c r="C45" s="4">
        <v>0</v>
      </c>
      <c r="D45" s="4">
        <v>1</v>
      </c>
      <c r="E45" s="4">
        <v>216</v>
      </c>
      <c r="F45" s="4">
        <f>ROUND(Source!AP36,O45)</f>
        <v>0</v>
      </c>
      <c r="G45" s="4" t="s">
        <v>78</v>
      </c>
      <c r="H45" s="4" t="s">
        <v>79</v>
      </c>
      <c r="I45" s="4"/>
      <c r="J45" s="4"/>
      <c r="K45" s="4">
        <v>216</v>
      </c>
      <c r="L45" s="4">
        <v>8</v>
      </c>
      <c r="M45" s="4">
        <v>3</v>
      </c>
      <c r="N45" s="4" t="s">
        <v>3</v>
      </c>
      <c r="O45" s="4">
        <v>2</v>
      </c>
      <c r="P45" s="4"/>
      <c r="Q45" s="4"/>
      <c r="R45" s="4"/>
      <c r="S45" s="4"/>
      <c r="T45" s="4"/>
      <c r="U45" s="4"/>
      <c r="V45" s="4"/>
      <c r="W45" s="4"/>
    </row>
    <row r="46" spans="1:245" x14ac:dyDescent="0.2">
      <c r="A46" s="4">
        <v>50</v>
      </c>
      <c r="B46" s="4">
        <v>0</v>
      </c>
      <c r="C46" s="4">
        <v>0</v>
      </c>
      <c r="D46" s="4">
        <v>1</v>
      </c>
      <c r="E46" s="4">
        <v>223</v>
      </c>
      <c r="F46" s="4">
        <f>ROUND(Source!AQ36,O46)</f>
        <v>0</v>
      </c>
      <c r="G46" s="4" t="s">
        <v>80</v>
      </c>
      <c r="H46" s="4" t="s">
        <v>81</v>
      </c>
      <c r="I46" s="4"/>
      <c r="J46" s="4"/>
      <c r="K46" s="4">
        <v>223</v>
      </c>
      <c r="L46" s="4">
        <v>9</v>
      </c>
      <c r="M46" s="4">
        <v>3</v>
      </c>
      <c r="N46" s="4" t="s">
        <v>3</v>
      </c>
      <c r="O46" s="4">
        <v>2</v>
      </c>
      <c r="P46" s="4"/>
      <c r="Q46" s="4"/>
      <c r="R46" s="4"/>
      <c r="S46" s="4"/>
      <c r="T46" s="4"/>
      <c r="U46" s="4"/>
      <c r="V46" s="4"/>
      <c r="W46" s="4"/>
    </row>
    <row r="47" spans="1:245" x14ac:dyDescent="0.2">
      <c r="A47" s="4">
        <v>50</v>
      </c>
      <c r="B47" s="4">
        <v>0</v>
      </c>
      <c r="C47" s="4">
        <v>0</v>
      </c>
      <c r="D47" s="4">
        <v>1</v>
      </c>
      <c r="E47" s="4">
        <v>229</v>
      </c>
      <c r="F47" s="4">
        <f>ROUND(Source!AZ36,O47)</f>
        <v>0</v>
      </c>
      <c r="G47" s="4" t="s">
        <v>82</v>
      </c>
      <c r="H47" s="4" t="s">
        <v>83</v>
      </c>
      <c r="I47" s="4"/>
      <c r="J47" s="4"/>
      <c r="K47" s="4">
        <v>229</v>
      </c>
      <c r="L47" s="4">
        <v>10</v>
      </c>
      <c r="M47" s="4">
        <v>3</v>
      </c>
      <c r="N47" s="4" t="s">
        <v>3</v>
      </c>
      <c r="O47" s="4">
        <v>2</v>
      </c>
      <c r="P47" s="4"/>
      <c r="Q47" s="4"/>
      <c r="R47" s="4"/>
      <c r="S47" s="4"/>
      <c r="T47" s="4"/>
      <c r="U47" s="4"/>
      <c r="V47" s="4"/>
      <c r="W47" s="4"/>
    </row>
    <row r="48" spans="1:245" x14ac:dyDescent="0.2">
      <c r="A48" s="4">
        <v>50</v>
      </c>
      <c r="B48" s="4">
        <v>0</v>
      </c>
      <c r="C48" s="4">
        <v>0</v>
      </c>
      <c r="D48" s="4">
        <v>1</v>
      </c>
      <c r="E48" s="4">
        <v>203</v>
      </c>
      <c r="F48" s="4">
        <f>ROUND(Source!Q36,O48)</f>
        <v>150579.16</v>
      </c>
      <c r="G48" s="4" t="s">
        <v>84</v>
      </c>
      <c r="H48" s="4" t="s">
        <v>85</v>
      </c>
      <c r="I48" s="4"/>
      <c r="J48" s="4"/>
      <c r="K48" s="4">
        <v>203</v>
      </c>
      <c r="L48" s="4">
        <v>11</v>
      </c>
      <c r="M48" s="4">
        <v>3</v>
      </c>
      <c r="N48" s="4" t="s">
        <v>3</v>
      </c>
      <c r="O48" s="4">
        <v>2</v>
      </c>
      <c r="P48" s="4"/>
      <c r="Q48" s="4"/>
      <c r="R48" s="4"/>
      <c r="S48" s="4"/>
      <c r="T48" s="4"/>
      <c r="U48" s="4"/>
      <c r="V48" s="4"/>
      <c r="W48" s="4"/>
    </row>
    <row r="49" spans="1:23" x14ac:dyDescent="0.2">
      <c r="A49" s="4">
        <v>50</v>
      </c>
      <c r="B49" s="4">
        <v>0</v>
      </c>
      <c r="C49" s="4">
        <v>0</v>
      </c>
      <c r="D49" s="4">
        <v>1</v>
      </c>
      <c r="E49" s="4">
        <v>231</v>
      </c>
      <c r="F49" s="4">
        <f>ROUND(Source!BB36,O49)</f>
        <v>0</v>
      </c>
      <c r="G49" s="4" t="s">
        <v>86</v>
      </c>
      <c r="H49" s="4" t="s">
        <v>87</v>
      </c>
      <c r="I49" s="4"/>
      <c r="J49" s="4"/>
      <c r="K49" s="4">
        <v>231</v>
      </c>
      <c r="L49" s="4">
        <v>12</v>
      </c>
      <c r="M49" s="4">
        <v>3</v>
      </c>
      <c r="N49" s="4" t="s">
        <v>3</v>
      </c>
      <c r="O49" s="4">
        <v>2</v>
      </c>
      <c r="P49" s="4"/>
      <c r="Q49" s="4"/>
      <c r="R49" s="4"/>
      <c r="S49" s="4"/>
      <c r="T49" s="4"/>
      <c r="U49" s="4"/>
      <c r="V49" s="4"/>
      <c r="W49" s="4"/>
    </row>
    <row r="50" spans="1:23" x14ac:dyDescent="0.2">
      <c r="A50" s="4">
        <v>50</v>
      </c>
      <c r="B50" s="4">
        <v>0</v>
      </c>
      <c r="C50" s="4">
        <v>0</v>
      </c>
      <c r="D50" s="4">
        <v>1</v>
      </c>
      <c r="E50" s="4">
        <v>204</v>
      </c>
      <c r="F50" s="4">
        <f>ROUND(Source!R36,O50)</f>
        <v>74489.13</v>
      </c>
      <c r="G50" s="4" t="s">
        <v>88</v>
      </c>
      <c r="H50" s="4" t="s">
        <v>89</v>
      </c>
      <c r="I50" s="4"/>
      <c r="J50" s="4"/>
      <c r="K50" s="4">
        <v>204</v>
      </c>
      <c r="L50" s="4">
        <v>13</v>
      </c>
      <c r="M50" s="4">
        <v>3</v>
      </c>
      <c r="N50" s="4" t="s">
        <v>3</v>
      </c>
      <c r="O50" s="4">
        <v>2</v>
      </c>
      <c r="P50" s="4"/>
      <c r="Q50" s="4"/>
      <c r="R50" s="4"/>
      <c r="S50" s="4"/>
      <c r="T50" s="4"/>
      <c r="U50" s="4"/>
      <c r="V50" s="4"/>
      <c r="W50" s="4"/>
    </row>
    <row r="51" spans="1:23" x14ac:dyDescent="0.2">
      <c r="A51" s="4">
        <v>50</v>
      </c>
      <c r="B51" s="4">
        <v>0</v>
      </c>
      <c r="C51" s="4">
        <v>0</v>
      </c>
      <c r="D51" s="4">
        <v>1</v>
      </c>
      <c r="E51" s="4">
        <v>205</v>
      </c>
      <c r="F51" s="4">
        <f>ROUND(Source!S36,O51)</f>
        <v>1023468.11</v>
      </c>
      <c r="G51" s="4" t="s">
        <v>90</v>
      </c>
      <c r="H51" s="4" t="s">
        <v>91</v>
      </c>
      <c r="I51" s="4"/>
      <c r="J51" s="4"/>
      <c r="K51" s="4">
        <v>205</v>
      </c>
      <c r="L51" s="4">
        <v>14</v>
      </c>
      <c r="M51" s="4">
        <v>3</v>
      </c>
      <c r="N51" s="4" t="s">
        <v>3</v>
      </c>
      <c r="O51" s="4">
        <v>2</v>
      </c>
      <c r="P51" s="4"/>
      <c r="Q51" s="4"/>
      <c r="R51" s="4"/>
      <c r="S51" s="4"/>
      <c r="T51" s="4"/>
      <c r="U51" s="4"/>
      <c r="V51" s="4"/>
      <c r="W51" s="4"/>
    </row>
    <row r="52" spans="1:23" x14ac:dyDescent="0.2">
      <c r="A52" s="4">
        <v>50</v>
      </c>
      <c r="B52" s="4">
        <v>0</v>
      </c>
      <c r="C52" s="4">
        <v>0</v>
      </c>
      <c r="D52" s="4">
        <v>1</v>
      </c>
      <c r="E52" s="4">
        <v>232</v>
      </c>
      <c r="F52" s="4">
        <f>ROUND(Source!BC36,O52)</f>
        <v>0</v>
      </c>
      <c r="G52" s="4" t="s">
        <v>92</v>
      </c>
      <c r="H52" s="4" t="s">
        <v>93</v>
      </c>
      <c r="I52" s="4"/>
      <c r="J52" s="4"/>
      <c r="K52" s="4">
        <v>232</v>
      </c>
      <c r="L52" s="4">
        <v>15</v>
      </c>
      <c r="M52" s="4">
        <v>3</v>
      </c>
      <c r="N52" s="4" t="s">
        <v>3</v>
      </c>
      <c r="O52" s="4">
        <v>2</v>
      </c>
      <c r="P52" s="4"/>
      <c r="Q52" s="4"/>
      <c r="R52" s="4"/>
      <c r="S52" s="4"/>
      <c r="T52" s="4"/>
      <c r="U52" s="4"/>
      <c r="V52" s="4"/>
      <c r="W52" s="4"/>
    </row>
    <row r="53" spans="1:23" x14ac:dyDescent="0.2">
      <c r="A53" s="4">
        <v>50</v>
      </c>
      <c r="B53" s="4">
        <v>0</v>
      </c>
      <c r="C53" s="4">
        <v>0</v>
      </c>
      <c r="D53" s="4">
        <v>1</v>
      </c>
      <c r="E53" s="4">
        <v>214</v>
      </c>
      <c r="F53" s="4">
        <f>ROUND(Source!AS36,O53)</f>
        <v>0</v>
      </c>
      <c r="G53" s="4" t="s">
        <v>94</v>
      </c>
      <c r="H53" s="4" t="s">
        <v>95</v>
      </c>
      <c r="I53" s="4"/>
      <c r="J53" s="4"/>
      <c r="K53" s="4">
        <v>214</v>
      </c>
      <c r="L53" s="4">
        <v>16</v>
      </c>
      <c r="M53" s="4">
        <v>3</v>
      </c>
      <c r="N53" s="4" t="s">
        <v>3</v>
      </c>
      <c r="O53" s="4">
        <v>2</v>
      </c>
      <c r="P53" s="4"/>
      <c r="Q53" s="4"/>
      <c r="R53" s="4"/>
      <c r="S53" s="4"/>
      <c r="T53" s="4"/>
      <c r="U53" s="4"/>
      <c r="V53" s="4"/>
      <c r="W53" s="4"/>
    </row>
    <row r="54" spans="1:23" x14ac:dyDescent="0.2">
      <c r="A54" s="4">
        <v>50</v>
      </c>
      <c r="B54" s="4">
        <v>0</v>
      </c>
      <c r="C54" s="4">
        <v>0</v>
      </c>
      <c r="D54" s="4">
        <v>1</v>
      </c>
      <c r="E54" s="4">
        <v>215</v>
      </c>
      <c r="F54" s="4">
        <f>ROUND(Source!AT36,O54)</f>
        <v>0</v>
      </c>
      <c r="G54" s="4" t="s">
        <v>96</v>
      </c>
      <c r="H54" s="4" t="s">
        <v>97</v>
      </c>
      <c r="I54" s="4"/>
      <c r="J54" s="4"/>
      <c r="K54" s="4">
        <v>215</v>
      </c>
      <c r="L54" s="4">
        <v>17</v>
      </c>
      <c r="M54" s="4">
        <v>3</v>
      </c>
      <c r="N54" s="4" t="s">
        <v>3</v>
      </c>
      <c r="O54" s="4">
        <v>2</v>
      </c>
      <c r="P54" s="4"/>
      <c r="Q54" s="4"/>
      <c r="R54" s="4"/>
      <c r="S54" s="4"/>
      <c r="T54" s="4"/>
      <c r="U54" s="4"/>
      <c r="V54" s="4"/>
      <c r="W54" s="4"/>
    </row>
    <row r="55" spans="1:23" x14ac:dyDescent="0.2">
      <c r="A55" s="4">
        <v>50</v>
      </c>
      <c r="B55" s="4">
        <v>0</v>
      </c>
      <c r="C55" s="4">
        <v>0</v>
      </c>
      <c r="D55" s="4">
        <v>1</v>
      </c>
      <c r="E55" s="4">
        <v>217</v>
      </c>
      <c r="F55" s="4">
        <f>ROUND(Source!AU36,O55)</f>
        <v>2981471.21</v>
      </c>
      <c r="G55" s="4" t="s">
        <v>98</v>
      </c>
      <c r="H55" s="4" t="s">
        <v>99</v>
      </c>
      <c r="I55" s="4"/>
      <c r="J55" s="4"/>
      <c r="K55" s="4">
        <v>217</v>
      </c>
      <c r="L55" s="4">
        <v>18</v>
      </c>
      <c r="M55" s="4">
        <v>3</v>
      </c>
      <c r="N55" s="4" t="s">
        <v>3</v>
      </c>
      <c r="O55" s="4">
        <v>2</v>
      </c>
      <c r="P55" s="4"/>
      <c r="Q55" s="4"/>
      <c r="R55" s="4"/>
      <c r="S55" s="4"/>
      <c r="T55" s="4"/>
      <c r="U55" s="4"/>
      <c r="V55" s="4"/>
      <c r="W55" s="4"/>
    </row>
    <row r="56" spans="1:23" x14ac:dyDescent="0.2">
      <c r="A56" s="4">
        <v>50</v>
      </c>
      <c r="B56" s="4">
        <v>0</v>
      </c>
      <c r="C56" s="4">
        <v>0</v>
      </c>
      <c r="D56" s="4">
        <v>1</v>
      </c>
      <c r="E56" s="4">
        <v>230</v>
      </c>
      <c r="F56" s="4">
        <f>ROUND(Source!BA36,O56)</f>
        <v>0</v>
      </c>
      <c r="G56" s="4" t="s">
        <v>100</v>
      </c>
      <c r="H56" s="4" t="s">
        <v>101</v>
      </c>
      <c r="I56" s="4"/>
      <c r="J56" s="4"/>
      <c r="K56" s="4">
        <v>230</v>
      </c>
      <c r="L56" s="4">
        <v>19</v>
      </c>
      <c r="M56" s="4">
        <v>3</v>
      </c>
      <c r="N56" s="4" t="s">
        <v>3</v>
      </c>
      <c r="O56" s="4">
        <v>2</v>
      </c>
      <c r="P56" s="4"/>
      <c r="Q56" s="4"/>
      <c r="R56" s="4"/>
      <c r="S56" s="4"/>
      <c r="T56" s="4"/>
      <c r="U56" s="4"/>
      <c r="V56" s="4"/>
      <c r="W56" s="4"/>
    </row>
    <row r="57" spans="1:23" x14ac:dyDescent="0.2">
      <c r="A57" s="4">
        <v>50</v>
      </c>
      <c r="B57" s="4">
        <v>0</v>
      </c>
      <c r="C57" s="4">
        <v>0</v>
      </c>
      <c r="D57" s="4">
        <v>1</v>
      </c>
      <c r="E57" s="4">
        <v>206</v>
      </c>
      <c r="F57" s="4">
        <f>ROUND(Source!T36,O57)</f>
        <v>0</v>
      </c>
      <c r="G57" s="4" t="s">
        <v>102</v>
      </c>
      <c r="H57" s="4" t="s">
        <v>103</v>
      </c>
      <c r="I57" s="4"/>
      <c r="J57" s="4"/>
      <c r="K57" s="4">
        <v>206</v>
      </c>
      <c r="L57" s="4">
        <v>20</v>
      </c>
      <c r="M57" s="4">
        <v>3</v>
      </c>
      <c r="N57" s="4" t="s">
        <v>3</v>
      </c>
      <c r="O57" s="4">
        <v>2</v>
      </c>
      <c r="P57" s="4"/>
      <c r="Q57" s="4"/>
      <c r="R57" s="4"/>
      <c r="S57" s="4"/>
      <c r="T57" s="4"/>
      <c r="U57" s="4"/>
      <c r="V57" s="4"/>
      <c r="W57" s="4"/>
    </row>
    <row r="58" spans="1:23" x14ac:dyDescent="0.2">
      <c r="A58" s="4">
        <v>50</v>
      </c>
      <c r="B58" s="4">
        <v>0</v>
      </c>
      <c r="C58" s="4">
        <v>0</v>
      </c>
      <c r="D58" s="4">
        <v>1</v>
      </c>
      <c r="E58" s="4">
        <v>207</v>
      </c>
      <c r="F58" s="4">
        <f>Source!U36</f>
        <v>4425.0309999999999</v>
      </c>
      <c r="G58" s="4" t="s">
        <v>104</v>
      </c>
      <c r="H58" s="4" t="s">
        <v>105</v>
      </c>
      <c r="I58" s="4"/>
      <c r="J58" s="4"/>
      <c r="K58" s="4">
        <v>207</v>
      </c>
      <c r="L58" s="4">
        <v>21</v>
      </c>
      <c r="M58" s="4">
        <v>3</v>
      </c>
      <c r="N58" s="4" t="s">
        <v>3</v>
      </c>
      <c r="O58" s="4">
        <v>-1</v>
      </c>
      <c r="P58" s="4"/>
      <c r="Q58" s="4"/>
      <c r="R58" s="4"/>
      <c r="S58" s="4"/>
      <c r="T58" s="4"/>
      <c r="U58" s="4"/>
      <c r="V58" s="4"/>
      <c r="W58" s="4"/>
    </row>
    <row r="59" spans="1:23" x14ac:dyDescent="0.2">
      <c r="A59" s="4">
        <v>50</v>
      </c>
      <c r="B59" s="4">
        <v>0</v>
      </c>
      <c r="C59" s="4">
        <v>0</v>
      </c>
      <c r="D59" s="4">
        <v>1</v>
      </c>
      <c r="E59" s="4">
        <v>208</v>
      </c>
      <c r="F59" s="4">
        <f>Source!V36</f>
        <v>0</v>
      </c>
      <c r="G59" s="4" t="s">
        <v>106</v>
      </c>
      <c r="H59" s="4" t="s">
        <v>107</v>
      </c>
      <c r="I59" s="4"/>
      <c r="J59" s="4"/>
      <c r="K59" s="4">
        <v>208</v>
      </c>
      <c r="L59" s="4">
        <v>22</v>
      </c>
      <c r="M59" s="4">
        <v>3</v>
      </c>
      <c r="N59" s="4" t="s">
        <v>3</v>
      </c>
      <c r="O59" s="4">
        <v>-1</v>
      </c>
      <c r="P59" s="4"/>
      <c r="Q59" s="4"/>
      <c r="R59" s="4"/>
      <c r="S59" s="4"/>
      <c r="T59" s="4"/>
      <c r="U59" s="4"/>
      <c r="V59" s="4"/>
      <c r="W59" s="4"/>
    </row>
    <row r="60" spans="1:23" x14ac:dyDescent="0.2">
      <c r="A60" s="4">
        <v>50</v>
      </c>
      <c r="B60" s="4">
        <v>0</v>
      </c>
      <c r="C60" s="4">
        <v>0</v>
      </c>
      <c r="D60" s="4">
        <v>1</v>
      </c>
      <c r="E60" s="4">
        <v>209</v>
      </c>
      <c r="F60" s="4">
        <f>ROUND(Source!W36,O60)</f>
        <v>0</v>
      </c>
      <c r="G60" s="4" t="s">
        <v>108</v>
      </c>
      <c r="H60" s="4" t="s">
        <v>109</v>
      </c>
      <c r="I60" s="4"/>
      <c r="J60" s="4"/>
      <c r="K60" s="4">
        <v>209</v>
      </c>
      <c r="L60" s="4">
        <v>23</v>
      </c>
      <c r="M60" s="4">
        <v>3</v>
      </c>
      <c r="N60" s="4" t="s">
        <v>3</v>
      </c>
      <c r="O60" s="4">
        <v>2</v>
      </c>
      <c r="P60" s="4"/>
      <c r="Q60" s="4"/>
      <c r="R60" s="4"/>
      <c r="S60" s="4"/>
      <c r="T60" s="4"/>
      <c r="U60" s="4"/>
      <c r="V60" s="4"/>
      <c r="W60" s="4"/>
    </row>
    <row r="61" spans="1:23" x14ac:dyDescent="0.2">
      <c r="A61" s="4">
        <v>50</v>
      </c>
      <c r="B61" s="4">
        <v>0</v>
      </c>
      <c r="C61" s="4">
        <v>0</v>
      </c>
      <c r="D61" s="4">
        <v>1</v>
      </c>
      <c r="E61" s="4">
        <v>233</v>
      </c>
      <c r="F61" s="4">
        <f>ROUND(Source!BD36,O61)</f>
        <v>0</v>
      </c>
      <c r="G61" s="4" t="s">
        <v>110</v>
      </c>
      <c r="H61" s="4" t="s">
        <v>111</v>
      </c>
      <c r="I61" s="4"/>
      <c r="J61" s="4"/>
      <c r="K61" s="4">
        <v>233</v>
      </c>
      <c r="L61" s="4">
        <v>24</v>
      </c>
      <c r="M61" s="4">
        <v>3</v>
      </c>
      <c r="N61" s="4" t="s">
        <v>3</v>
      </c>
      <c r="O61" s="4">
        <v>2</v>
      </c>
      <c r="P61" s="4"/>
      <c r="Q61" s="4"/>
      <c r="R61" s="4"/>
      <c r="S61" s="4"/>
      <c r="T61" s="4"/>
      <c r="U61" s="4"/>
      <c r="V61" s="4"/>
      <c r="W61" s="4"/>
    </row>
    <row r="62" spans="1:23" x14ac:dyDescent="0.2">
      <c r="A62" s="4">
        <v>50</v>
      </c>
      <c r="B62" s="4">
        <v>0</v>
      </c>
      <c r="C62" s="4">
        <v>0</v>
      </c>
      <c r="D62" s="4">
        <v>1</v>
      </c>
      <c r="E62" s="4">
        <v>210</v>
      </c>
      <c r="F62" s="4">
        <f>ROUND(Source!X36,O62)</f>
        <v>716427.67</v>
      </c>
      <c r="G62" s="4" t="s">
        <v>112</v>
      </c>
      <c r="H62" s="4" t="s">
        <v>113</v>
      </c>
      <c r="I62" s="4"/>
      <c r="J62" s="4"/>
      <c r="K62" s="4">
        <v>210</v>
      </c>
      <c r="L62" s="4">
        <v>25</v>
      </c>
      <c r="M62" s="4">
        <v>3</v>
      </c>
      <c r="N62" s="4" t="s">
        <v>3</v>
      </c>
      <c r="O62" s="4">
        <v>2</v>
      </c>
      <c r="P62" s="4"/>
      <c r="Q62" s="4"/>
      <c r="R62" s="4"/>
      <c r="S62" s="4"/>
      <c r="T62" s="4"/>
      <c r="U62" s="4"/>
      <c r="V62" s="4"/>
      <c r="W62" s="4"/>
    </row>
    <row r="63" spans="1:23" x14ac:dyDescent="0.2">
      <c r="A63" s="4">
        <v>50</v>
      </c>
      <c r="B63" s="4">
        <v>0</v>
      </c>
      <c r="C63" s="4">
        <v>0</v>
      </c>
      <c r="D63" s="4">
        <v>1</v>
      </c>
      <c r="E63" s="4">
        <v>211</v>
      </c>
      <c r="F63" s="4">
        <f>ROUND(Source!Y36,O63)</f>
        <v>0</v>
      </c>
      <c r="G63" s="4" t="s">
        <v>114</v>
      </c>
      <c r="H63" s="4" t="s">
        <v>115</v>
      </c>
      <c r="I63" s="4"/>
      <c r="J63" s="4"/>
      <c r="K63" s="4">
        <v>211</v>
      </c>
      <c r="L63" s="4">
        <v>26</v>
      </c>
      <c r="M63" s="4">
        <v>3</v>
      </c>
      <c r="N63" s="4" t="s">
        <v>3</v>
      </c>
      <c r="O63" s="4">
        <v>2</v>
      </c>
      <c r="P63" s="4"/>
      <c r="Q63" s="4"/>
      <c r="R63" s="4"/>
      <c r="S63" s="4"/>
      <c r="T63" s="4"/>
      <c r="U63" s="4"/>
      <c r="V63" s="4"/>
      <c r="W63" s="4"/>
    </row>
    <row r="64" spans="1:23" x14ac:dyDescent="0.2">
      <c r="A64" s="4">
        <v>50</v>
      </c>
      <c r="B64" s="4">
        <v>0</v>
      </c>
      <c r="C64" s="4">
        <v>0</v>
      </c>
      <c r="D64" s="4">
        <v>1</v>
      </c>
      <c r="E64" s="4">
        <v>224</v>
      </c>
      <c r="F64" s="4">
        <f>ROUND(Source!AR36,O64)</f>
        <v>2981471.21</v>
      </c>
      <c r="G64" s="4" t="s">
        <v>116</v>
      </c>
      <c r="H64" s="4" t="s">
        <v>117</v>
      </c>
      <c r="I64" s="4"/>
      <c r="J64" s="4"/>
      <c r="K64" s="4">
        <v>224</v>
      </c>
      <c r="L64" s="4">
        <v>27</v>
      </c>
      <c r="M64" s="4">
        <v>3</v>
      </c>
      <c r="N64" s="4" t="s">
        <v>3</v>
      </c>
      <c r="O64" s="4">
        <v>2</v>
      </c>
      <c r="P64" s="4"/>
      <c r="Q64" s="4"/>
      <c r="R64" s="4"/>
      <c r="S64" s="4"/>
      <c r="T64" s="4"/>
      <c r="U64" s="4"/>
      <c r="V64" s="4"/>
      <c r="W64" s="4"/>
    </row>
    <row r="66" spans="1:206" x14ac:dyDescent="0.2">
      <c r="A66" s="2">
        <v>51</v>
      </c>
      <c r="B66" s="2">
        <f>B12</f>
        <v>102</v>
      </c>
      <c r="C66" s="2">
        <f>A12</f>
        <v>1</v>
      </c>
      <c r="D66" s="2">
        <f>ROW(A12)</f>
        <v>12</v>
      </c>
      <c r="E66" s="2"/>
      <c r="F66" s="2" t="str">
        <f>IF(F12&lt;&gt;"",F12,"")</f>
        <v>1</v>
      </c>
      <c r="G66" s="2" t="str">
        <f>IF(G12&lt;&gt;"",G12,"")</f>
        <v>Изменение вертикальных отметок и устройство гидроизоляции по адресу: Краснохолмская наб., д.1_15</v>
      </c>
      <c r="H66" s="2">
        <v>0</v>
      </c>
      <c r="I66" s="2"/>
      <c r="J66" s="2"/>
      <c r="K66" s="2"/>
      <c r="L66" s="2"/>
      <c r="M66" s="2"/>
      <c r="N66" s="2"/>
      <c r="O66" s="2">
        <f t="shared" ref="O66:T66" si="48">ROUND(O36,2)</f>
        <v>2253055.52</v>
      </c>
      <c r="P66" s="2">
        <f t="shared" si="48"/>
        <v>1079008.25</v>
      </c>
      <c r="Q66" s="2">
        <f t="shared" si="48"/>
        <v>150579.16</v>
      </c>
      <c r="R66" s="2">
        <f t="shared" si="48"/>
        <v>74489.13</v>
      </c>
      <c r="S66" s="2">
        <f t="shared" si="48"/>
        <v>1023468.11</v>
      </c>
      <c r="T66" s="2">
        <f t="shared" si="48"/>
        <v>0</v>
      </c>
      <c r="U66" s="2">
        <f>U36</f>
        <v>4425.0309999999999</v>
      </c>
      <c r="V66" s="2">
        <f>V36</f>
        <v>0</v>
      </c>
      <c r="W66" s="2">
        <f>ROUND(W36,2)</f>
        <v>0</v>
      </c>
      <c r="X66" s="2">
        <f>ROUND(X36,2)</f>
        <v>716427.67</v>
      </c>
      <c r="Y66" s="2">
        <f>ROUND(Y36,2)</f>
        <v>0</v>
      </c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>
        <f t="shared" ref="AO66:BD66" si="49">ROUND(AO36,2)</f>
        <v>0</v>
      </c>
      <c r="AP66" s="2">
        <f t="shared" si="49"/>
        <v>0</v>
      </c>
      <c r="AQ66" s="2">
        <f t="shared" si="49"/>
        <v>0</v>
      </c>
      <c r="AR66" s="2">
        <f t="shared" si="49"/>
        <v>2981471.21</v>
      </c>
      <c r="AS66" s="2">
        <f t="shared" si="49"/>
        <v>0</v>
      </c>
      <c r="AT66" s="2">
        <f t="shared" si="49"/>
        <v>0</v>
      </c>
      <c r="AU66" s="2">
        <f t="shared" si="49"/>
        <v>2981471.21</v>
      </c>
      <c r="AV66" s="2">
        <f t="shared" si="49"/>
        <v>1079008.25</v>
      </c>
      <c r="AW66" s="2">
        <f t="shared" si="49"/>
        <v>1079008.25</v>
      </c>
      <c r="AX66" s="2">
        <f t="shared" si="49"/>
        <v>0</v>
      </c>
      <c r="AY66" s="2">
        <f t="shared" si="49"/>
        <v>1079008.25</v>
      </c>
      <c r="AZ66" s="2">
        <f t="shared" si="49"/>
        <v>0</v>
      </c>
      <c r="BA66" s="2">
        <f t="shared" si="49"/>
        <v>0</v>
      </c>
      <c r="BB66" s="2">
        <f t="shared" si="49"/>
        <v>0</v>
      </c>
      <c r="BC66" s="2">
        <f t="shared" si="49"/>
        <v>0</v>
      </c>
      <c r="BD66" s="2">
        <f t="shared" si="49"/>
        <v>0</v>
      </c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>
        <v>0</v>
      </c>
    </row>
    <row r="68" spans="1:206" x14ac:dyDescent="0.2">
      <c r="A68" s="4">
        <v>50</v>
      </c>
      <c r="B68" s="4">
        <v>0</v>
      </c>
      <c r="C68" s="4">
        <v>0</v>
      </c>
      <c r="D68" s="4">
        <v>1</v>
      </c>
      <c r="E68" s="4">
        <v>201</v>
      </c>
      <c r="F68" s="4">
        <f>ROUND(Source!O66,O68)</f>
        <v>2253055.52</v>
      </c>
      <c r="G68" s="4" t="s">
        <v>64</v>
      </c>
      <c r="H68" s="4" t="s">
        <v>65</v>
      </c>
      <c r="I68" s="4"/>
      <c r="J68" s="4"/>
      <c r="K68" s="4">
        <v>201</v>
      </c>
      <c r="L68" s="4">
        <v>1</v>
      </c>
      <c r="M68" s="4">
        <v>3</v>
      </c>
      <c r="N68" s="4" t="s">
        <v>3</v>
      </c>
      <c r="O68" s="4">
        <v>2</v>
      </c>
      <c r="P68" s="4"/>
      <c r="Q68" s="4"/>
      <c r="R68" s="4"/>
      <c r="S68" s="4"/>
      <c r="T68" s="4"/>
      <c r="U68" s="4"/>
      <c r="V68" s="4"/>
      <c r="W68" s="4"/>
    </row>
    <row r="69" spans="1:206" x14ac:dyDescent="0.2">
      <c r="A69" s="4">
        <v>50</v>
      </c>
      <c r="B69" s="4">
        <v>0</v>
      </c>
      <c r="C69" s="4">
        <v>0</v>
      </c>
      <c r="D69" s="4">
        <v>1</v>
      </c>
      <c r="E69" s="4">
        <v>202</v>
      </c>
      <c r="F69" s="4">
        <f>ROUND(Source!P66,O69)</f>
        <v>1079008.25</v>
      </c>
      <c r="G69" s="4" t="s">
        <v>66</v>
      </c>
      <c r="H69" s="4" t="s">
        <v>67</v>
      </c>
      <c r="I69" s="4"/>
      <c r="J69" s="4"/>
      <c r="K69" s="4">
        <v>202</v>
      </c>
      <c r="L69" s="4">
        <v>2</v>
      </c>
      <c r="M69" s="4">
        <v>3</v>
      </c>
      <c r="N69" s="4" t="s">
        <v>3</v>
      </c>
      <c r="O69" s="4">
        <v>2</v>
      </c>
      <c r="P69" s="4"/>
      <c r="Q69" s="4"/>
      <c r="R69" s="4"/>
      <c r="S69" s="4"/>
      <c r="T69" s="4"/>
      <c r="U69" s="4"/>
      <c r="V69" s="4"/>
      <c r="W69" s="4"/>
    </row>
    <row r="70" spans="1:206" x14ac:dyDescent="0.2">
      <c r="A70" s="4">
        <v>50</v>
      </c>
      <c r="B70" s="4">
        <v>0</v>
      </c>
      <c r="C70" s="4">
        <v>0</v>
      </c>
      <c r="D70" s="4">
        <v>1</v>
      </c>
      <c r="E70" s="4">
        <v>222</v>
      </c>
      <c r="F70" s="4">
        <f>ROUND(Source!AO66,O70)</f>
        <v>0</v>
      </c>
      <c r="G70" s="4" t="s">
        <v>68</v>
      </c>
      <c r="H70" s="4" t="s">
        <v>69</v>
      </c>
      <c r="I70" s="4"/>
      <c r="J70" s="4"/>
      <c r="K70" s="4">
        <v>222</v>
      </c>
      <c r="L70" s="4">
        <v>3</v>
      </c>
      <c r="M70" s="4">
        <v>3</v>
      </c>
      <c r="N70" s="4" t="s">
        <v>3</v>
      </c>
      <c r="O70" s="4">
        <v>2</v>
      </c>
      <c r="P70" s="4"/>
      <c r="Q70" s="4"/>
      <c r="R70" s="4"/>
      <c r="S70" s="4"/>
      <c r="T70" s="4"/>
      <c r="U70" s="4"/>
      <c r="V70" s="4"/>
      <c r="W70" s="4"/>
    </row>
    <row r="71" spans="1:206" x14ac:dyDescent="0.2">
      <c r="A71" s="4">
        <v>50</v>
      </c>
      <c r="B71" s="4">
        <v>0</v>
      </c>
      <c r="C71" s="4">
        <v>0</v>
      </c>
      <c r="D71" s="4">
        <v>1</v>
      </c>
      <c r="E71" s="4">
        <v>225</v>
      </c>
      <c r="F71" s="4">
        <f>ROUND(Source!AV66,O71)</f>
        <v>1079008.25</v>
      </c>
      <c r="G71" s="4" t="s">
        <v>70</v>
      </c>
      <c r="H71" s="4" t="s">
        <v>71</v>
      </c>
      <c r="I71" s="4"/>
      <c r="J71" s="4"/>
      <c r="K71" s="4">
        <v>225</v>
      </c>
      <c r="L71" s="4">
        <v>4</v>
      </c>
      <c r="M71" s="4">
        <v>3</v>
      </c>
      <c r="N71" s="4" t="s">
        <v>3</v>
      </c>
      <c r="O71" s="4">
        <v>2</v>
      </c>
      <c r="P71" s="4"/>
      <c r="Q71" s="4"/>
      <c r="R71" s="4"/>
      <c r="S71" s="4"/>
      <c r="T71" s="4"/>
      <c r="U71" s="4"/>
      <c r="V71" s="4"/>
      <c r="W71" s="4"/>
    </row>
    <row r="72" spans="1:206" x14ac:dyDescent="0.2">
      <c r="A72" s="4">
        <v>50</v>
      </c>
      <c r="B72" s="4">
        <v>0</v>
      </c>
      <c r="C72" s="4">
        <v>0</v>
      </c>
      <c r="D72" s="4">
        <v>1</v>
      </c>
      <c r="E72" s="4">
        <v>226</v>
      </c>
      <c r="F72" s="4">
        <f>ROUND(Source!AW66,O72)</f>
        <v>1079008.25</v>
      </c>
      <c r="G72" s="4" t="s">
        <v>72</v>
      </c>
      <c r="H72" s="4" t="s">
        <v>73</v>
      </c>
      <c r="I72" s="4"/>
      <c r="J72" s="4"/>
      <c r="K72" s="4">
        <v>226</v>
      </c>
      <c r="L72" s="4">
        <v>5</v>
      </c>
      <c r="M72" s="4">
        <v>3</v>
      </c>
      <c r="N72" s="4" t="s">
        <v>3</v>
      </c>
      <c r="O72" s="4">
        <v>2</v>
      </c>
      <c r="P72" s="4"/>
      <c r="Q72" s="4"/>
      <c r="R72" s="4"/>
      <c r="S72" s="4"/>
      <c r="T72" s="4"/>
      <c r="U72" s="4"/>
      <c r="V72" s="4"/>
      <c r="W72" s="4"/>
    </row>
    <row r="73" spans="1:206" x14ac:dyDescent="0.2">
      <c r="A73" s="4">
        <v>50</v>
      </c>
      <c r="B73" s="4">
        <v>0</v>
      </c>
      <c r="C73" s="4">
        <v>0</v>
      </c>
      <c r="D73" s="4">
        <v>1</v>
      </c>
      <c r="E73" s="4">
        <v>227</v>
      </c>
      <c r="F73" s="4">
        <f>ROUND(Source!AX66,O73)</f>
        <v>0</v>
      </c>
      <c r="G73" s="4" t="s">
        <v>74</v>
      </c>
      <c r="H73" s="4" t="s">
        <v>75</v>
      </c>
      <c r="I73" s="4"/>
      <c r="J73" s="4"/>
      <c r="K73" s="4">
        <v>227</v>
      </c>
      <c r="L73" s="4">
        <v>6</v>
      </c>
      <c r="M73" s="4">
        <v>3</v>
      </c>
      <c r="N73" s="4" t="s">
        <v>3</v>
      </c>
      <c r="O73" s="4">
        <v>2</v>
      </c>
      <c r="P73" s="4"/>
      <c r="Q73" s="4"/>
      <c r="R73" s="4"/>
      <c r="S73" s="4"/>
      <c r="T73" s="4"/>
      <c r="U73" s="4"/>
      <c r="V73" s="4"/>
      <c r="W73" s="4"/>
    </row>
    <row r="74" spans="1:206" x14ac:dyDescent="0.2">
      <c r="A74" s="4">
        <v>50</v>
      </c>
      <c r="B74" s="4">
        <v>0</v>
      </c>
      <c r="C74" s="4">
        <v>0</v>
      </c>
      <c r="D74" s="4">
        <v>1</v>
      </c>
      <c r="E74" s="4">
        <v>228</v>
      </c>
      <c r="F74" s="4">
        <f>ROUND(Source!AY66,O74)</f>
        <v>1079008.25</v>
      </c>
      <c r="G74" s="4" t="s">
        <v>76</v>
      </c>
      <c r="H74" s="4" t="s">
        <v>77</v>
      </c>
      <c r="I74" s="4"/>
      <c r="J74" s="4"/>
      <c r="K74" s="4">
        <v>228</v>
      </c>
      <c r="L74" s="4">
        <v>7</v>
      </c>
      <c r="M74" s="4">
        <v>3</v>
      </c>
      <c r="N74" s="4" t="s">
        <v>3</v>
      </c>
      <c r="O74" s="4">
        <v>2</v>
      </c>
      <c r="P74" s="4"/>
      <c r="Q74" s="4"/>
      <c r="R74" s="4"/>
      <c r="S74" s="4"/>
      <c r="T74" s="4"/>
      <c r="U74" s="4"/>
      <c r="V74" s="4"/>
      <c r="W74" s="4"/>
    </row>
    <row r="75" spans="1:206" x14ac:dyDescent="0.2">
      <c r="A75" s="4">
        <v>50</v>
      </c>
      <c r="B75" s="4">
        <v>0</v>
      </c>
      <c r="C75" s="4">
        <v>0</v>
      </c>
      <c r="D75" s="4">
        <v>1</v>
      </c>
      <c r="E75" s="4">
        <v>216</v>
      </c>
      <c r="F75" s="4">
        <f>ROUND(Source!AP66,O75)</f>
        <v>0</v>
      </c>
      <c r="G75" s="4" t="s">
        <v>78</v>
      </c>
      <c r="H75" s="4" t="s">
        <v>79</v>
      </c>
      <c r="I75" s="4"/>
      <c r="J75" s="4"/>
      <c r="K75" s="4">
        <v>216</v>
      </c>
      <c r="L75" s="4">
        <v>8</v>
      </c>
      <c r="M75" s="4">
        <v>3</v>
      </c>
      <c r="N75" s="4" t="s">
        <v>3</v>
      </c>
      <c r="O75" s="4">
        <v>2</v>
      </c>
      <c r="P75" s="4"/>
      <c r="Q75" s="4"/>
      <c r="R75" s="4"/>
      <c r="S75" s="4"/>
      <c r="T75" s="4"/>
      <c r="U75" s="4"/>
      <c r="V75" s="4"/>
      <c r="W75" s="4"/>
    </row>
    <row r="76" spans="1:206" x14ac:dyDescent="0.2">
      <c r="A76" s="4">
        <v>50</v>
      </c>
      <c r="B76" s="4">
        <v>0</v>
      </c>
      <c r="C76" s="4">
        <v>0</v>
      </c>
      <c r="D76" s="4">
        <v>1</v>
      </c>
      <c r="E76" s="4">
        <v>223</v>
      </c>
      <c r="F76" s="4">
        <f>ROUND(Source!AQ66,O76)</f>
        <v>0</v>
      </c>
      <c r="G76" s="4" t="s">
        <v>80</v>
      </c>
      <c r="H76" s="4" t="s">
        <v>81</v>
      </c>
      <c r="I76" s="4"/>
      <c r="J76" s="4"/>
      <c r="K76" s="4">
        <v>223</v>
      </c>
      <c r="L76" s="4">
        <v>9</v>
      </c>
      <c r="M76" s="4">
        <v>3</v>
      </c>
      <c r="N76" s="4" t="s">
        <v>3</v>
      </c>
      <c r="O76" s="4">
        <v>2</v>
      </c>
      <c r="P76" s="4"/>
      <c r="Q76" s="4"/>
      <c r="R76" s="4"/>
      <c r="S76" s="4"/>
      <c r="T76" s="4"/>
      <c r="U76" s="4"/>
      <c r="V76" s="4"/>
      <c r="W76" s="4"/>
    </row>
    <row r="77" spans="1:206" x14ac:dyDescent="0.2">
      <c r="A77" s="4">
        <v>50</v>
      </c>
      <c r="B77" s="4">
        <v>0</v>
      </c>
      <c r="C77" s="4">
        <v>0</v>
      </c>
      <c r="D77" s="4">
        <v>1</v>
      </c>
      <c r="E77" s="4">
        <v>229</v>
      </c>
      <c r="F77" s="4">
        <f>ROUND(Source!AZ66,O77)</f>
        <v>0</v>
      </c>
      <c r="G77" s="4" t="s">
        <v>82</v>
      </c>
      <c r="H77" s="4" t="s">
        <v>83</v>
      </c>
      <c r="I77" s="4"/>
      <c r="J77" s="4"/>
      <c r="K77" s="4">
        <v>229</v>
      </c>
      <c r="L77" s="4">
        <v>10</v>
      </c>
      <c r="M77" s="4">
        <v>3</v>
      </c>
      <c r="N77" s="4" t="s">
        <v>3</v>
      </c>
      <c r="O77" s="4">
        <v>2</v>
      </c>
      <c r="P77" s="4"/>
      <c r="Q77" s="4"/>
      <c r="R77" s="4"/>
      <c r="S77" s="4"/>
      <c r="T77" s="4"/>
      <c r="U77" s="4"/>
      <c r="V77" s="4"/>
      <c r="W77" s="4"/>
    </row>
    <row r="78" spans="1:206" x14ac:dyDescent="0.2">
      <c r="A78" s="4">
        <v>50</v>
      </c>
      <c r="B78" s="4">
        <v>0</v>
      </c>
      <c r="C78" s="4">
        <v>0</v>
      </c>
      <c r="D78" s="4">
        <v>1</v>
      </c>
      <c r="E78" s="4">
        <v>203</v>
      </c>
      <c r="F78" s="4">
        <f>ROUND(Source!Q66,O78)</f>
        <v>150579.16</v>
      </c>
      <c r="G78" s="4" t="s">
        <v>84</v>
      </c>
      <c r="H78" s="4" t="s">
        <v>85</v>
      </c>
      <c r="I78" s="4"/>
      <c r="J78" s="4"/>
      <c r="K78" s="4">
        <v>203</v>
      </c>
      <c r="L78" s="4">
        <v>11</v>
      </c>
      <c r="M78" s="4">
        <v>3</v>
      </c>
      <c r="N78" s="4" t="s">
        <v>3</v>
      </c>
      <c r="O78" s="4">
        <v>2</v>
      </c>
      <c r="P78" s="4"/>
      <c r="Q78" s="4"/>
      <c r="R78" s="4"/>
      <c r="S78" s="4"/>
      <c r="T78" s="4"/>
      <c r="U78" s="4"/>
      <c r="V78" s="4"/>
      <c r="W78" s="4"/>
    </row>
    <row r="79" spans="1:206" x14ac:dyDescent="0.2">
      <c r="A79" s="4">
        <v>50</v>
      </c>
      <c r="B79" s="4">
        <v>0</v>
      </c>
      <c r="C79" s="4">
        <v>0</v>
      </c>
      <c r="D79" s="4">
        <v>1</v>
      </c>
      <c r="E79" s="4">
        <v>231</v>
      </c>
      <c r="F79" s="4">
        <f>ROUND(Source!BB66,O79)</f>
        <v>0</v>
      </c>
      <c r="G79" s="4" t="s">
        <v>86</v>
      </c>
      <c r="H79" s="4" t="s">
        <v>87</v>
      </c>
      <c r="I79" s="4"/>
      <c r="J79" s="4"/>
      <c r="K79" s="4">
        <v>231</v>
      </c>
      <c r="L79" s="4">
        <v>12</v>
      </c>
      <c r="M79" s="4">
        <v>3</v>
      </c>
      <c r="N79" s="4" t="s">
        <v>3</v>
      </c>
      <c r="O79" s="4">
        <v>2</v>
      </c>
      <c r="P79" s="4"/>
      <c r="Q79" s="4"/>
      <c r="R79" s="4"/>
      <c r="S79" s="4"/>
      <c r="T79" s="4"/>
      <c r="U79" s="4"/>
      <c r="V79" s="4"/>
      <c r="W79" s="4"/>
    </row>
    <row r="80" spans="1:206" x14ac:dyDescent="0.2">
      <c r="A80" s="4">
        <v>50</v>
      </c>
      <c r="B80" s="4">
        <v>0</v>
      </c>
      <c r="C80" s="4">
        <v>0</v>
      </c>
      <c r="D80" s="4">
        <v>1</v>
      </c>
      <c r="E80" s="4">
        <v>204</v>
      </c>
      <c r="F80" s="4">
        <f>ROUND(Source!R66,O80)</f>
        <v>74489.13</v>
      </c>
      <c r="G80" s="4" t="s">
        <v>88</v>
      </c>
      <c r="H80" s="4" t="s">
        <v>89</v>
      </c>
      <c r="I80" s="4"/>
      <c r="J80" s="4"/>
      <c r="K80" s="4">
        <v>204</v>
      </c>
      <c r="L80" s="4">
        <v>13</v>
      </c>
      <c r="M80" s="4">
        <v>3</v>
      </c>
      <c r="N80" s="4" t="s">
        <v>3</v>
      </c>
      <c r="O80" s="4">
        <v>2</v>
      </c>
      <c r="P80" s="4"/>
      <c r="Q80" s="4"/>
      <c r="R80" s="4"/>
      <c r="S80" s="4"/>
      <c r="T80" s="4"/>
      <c r="U80" s="4"/>
      <c r="V80" s="4"/>
      <c r="W80" s="4"/>
    </row>
    <row r="81" spans="1:23" x14ac:dyDescent="0.2">
      <c r="A81" s="4">
        <v>50</v>
      </c>
      <c r="B81" s="4">
        <v>0</v>
      </c>
      <c r="C81" s="4">
        <v>0</v>
      </c>
      <c r="D81" s="4">
        <v>1</v>
      </c>
      <c r="E81" s="4">
        <v>205</v>
      </c>
      <c r="F81" s="4">
        <f>ROUND(Source!S66,O81)</f>
        <v>1023468.11</v>
      </c>
      <c r="G81" s="4" t="s">
        <v>90</v>
      </c>
      <c r="H81" s="4" t="s">
        <v>91</v>
      </c>
      <c r="I81" s="4"/>
      <c r="J81" s="4"/>
      <c r="K81" s="4">
        <v>205</v>
      </c>
      <c r="L81" s="4">
        <v>14</v>
      </c>
      <c r="M81" s="4">
        <v>3</v>
      </c>
      <c r="N81" s="4" t="s">
        <v>3</v>
      </c>
      <c r="O81" s="4">
        <v>2</v>
      </c>
      <c r="P81" s="4"/>
      <c r="Q81" s="4"/>
      <c r="R81" s="4"/>
      <c r="S81" s="4"/>
      <c r="T81" s="4"/>
      <c r="U81" s="4"/>
      <c r="V81" s="4"/>
      <c r="W81" s="4"/>
    </row>
    <row r="82" spans="1:23" x14ac:dyDescent="0.2">
      <c r="A82" s="4">
        <v>50</v>
      </c>
      <c r="B82" s="4">
        <v>0</v>
      </c>
      <c r="C82" s="4">
        <v>0</v>
      </c>
      <c r="D82" s="4">
        <v>1</v>
      </c>
      <c r="E82" s="4">
        <v>232</v>
      </c>
      <c r="F82" s="4">
        <f>ROUND(Source!BC66,O82)</f>
        <v>0</v>
      </c>
      <c r="G82" s="4" t="s">
        <v>92</v>
      </c>
      <c r="H82" s="4" t="s">
        <v>93</v>
      </c>
      <c r="I82" s="4"/>
      <c r="J82" s="4"/>
      <c r="K82" s="4">
        <v>232</v>
      </c>
      <c r="L82" s="4">
        <v>15</v>
      </c>
      <c r="M82" s="4">
        <v>3</v>
      </c>
      <c r="N82" s="4" t="s">
        <v>3</v>
      </c>
      <c r="O82" s="4">
        <v>2</v>
      </c>
      <c r="P82" s="4"/>
      <c r="Q82" s="4"/>
      <c r="R82" s="4"/>
      <c r="S82" s="4"/>
      <c r="T82" s="4"/>
      <c r="U82" s="4"/>
      <c r="V82" s="4"/>
      <c r="W82" s="4"/>
    </row>
    <row r="83" spans="1:23" x14ac:dyDescent="0.2">
      <c r="A83" s="4">
        <v>50</v>
      </c>
      <c r="B83" s="4">
        <v>0</v>
      </c>
      <c r="C83" s="4">
        <v>0</v>
      </c>
      <c r="D83" s="4">
        <v>1</v>
      </c>
      <c r="E83" s="4">
        <v>214</v>
      </c>
      <c r="F83" s="4">
        <f>ROUND(Source!AS66,O83)</f>
        <v>0</v>
      </c>
      <c r="G83" s="4" t="s">
        <v>94</v>
      </c>
      <c r="H83" s="4" t="s">
        <v>95</v>
      </c>
      <c r="I83" s="4"/>
      <c r="J83" s="4"/>
      <c r="K83" s="4">
        <v>214</v>
      </c>
      <c r="L83" s="4">
        <v>16</v>
      </c>
      <c r="M83" s="4">
        <v>3</v>
      </c>
      <c r="N83" s="4" t="s">
        <v>3</v>
      </c>
      <c r="O83" s="4">
        <v>2</v>
      </c>
      <c r="P83" s="4"/>
      <c r="Q83" s="4"/>
      <c r="R83" s="4"/>
      <c r="S83" s="4"/>
      <c r="T83" s="4"/>
      <c r="U83" s="4"/>
      <c r="V83" s="4"/>
      <c r="W83" s="4"/>
    </row>
    <row r="84" spans="1:23" x14ac:dyDescent="0.2">
      <c r="A84" s="4">
        <v>50</v>
      </c>
      <c r="B84" s="4">
        <v>0</v>
      </c>
      <c r="C84" s="4">
        <v>0</v>
      </c>
      <c r="D84" s="4">
        <v>1</v>
      </c>
      <c r="E84" s="4">
        <v>215</v>
      </c>
      <c r="F84" s="4">
        <f>ROUND(Source!AT66,O84)</f>
        <v>0</v>
      </c>
      <c r="G84" s="4" t="s">
        <v>96</v>
      </c>
      <c r="H84" s="4" t="s">
        <v>97</v>
      </c>
      <c r="I84" s="4"/>
      <c r="J84" s="4"/>
      <c r="K84" s="4">
        <v>215</v>
      </c>
      <c r="L84" s="4">
        <v>17</v>
      </c>
      <c r="M84" s="4">
        <v>3</v>
      </c>
      <c r="N84" s="4" t="s">
        <v>3</v>
      </c>
      <c r="O84" s="4">
        <v>2</v>
      </c>
      <c r="P84" s="4"/>
      <c r="Q84" s="4"/>
      <c r="R84" s="4"/>
      <c r="S84" s="4"/>
      <c r="T84" s="4"/>
      <c r="U84" s="4"/>
      <c r="V84" s="4"/>
      <c r="W84" s="4"/>
    </row>
    <row r="85" spans="1:23" x14ac:dyDescent="0.2">
      <c r="A85" s="4">
        <v>50</v>
      </c>
      <c r="B85" s="4">
        <v>0</v>
      </c>
      <c r="C85" s="4">
        <v>0</v>
      </c>
      <c r="D85" s="4">
        <v>1</v>
      </c>
      <c r="E85" s="4">
        <v>217</v>
      </c>
      <c r="F85" s="4">
        <f>ROUND(Source!AU66,O85)</f>
        <v>2981471.21</v>
      </c>
      <c r="G85" s="4" t="s">
        <v>98</v>
      </c>
      <c r="H85" s="4" t="s">
        <v>99</v>
      </c>
      <c r="I85" s="4"/>
      <c r="J85" s="4"/>
      <c r="K85" s="4">
        <v>217</v>
      </c>
      <c r="L85" s="4">
        <v>18</v>
      </c>
      <c r="M85" s="4">
        <v>3</v>
      </c>
      <c r="N85" s="4" t="s">
        <v>3</v>
      </c>
      <c r="O85" s="4">
        <v>2</v>
      </c>
      <c r="P85" s="4"/>
      <c r="Q85" s="4"/>
      <c r="R85" s="4"/>
      <c r="S85" s="4"/>
      <c r="T85" s="4"/>
      <c r="U85" s="4"/>
      <c r="V85" s="4"/>
      <c r="W85" s="4"/>
    </row>
    <row r="86" spans="1:23" x14ac:dyDescent="0.2">
      <c r="A86" s="4">
        <v>50</v>
      </c>
      <c r="B86" s="4">
        <v>0</v>
      </c>
      <c r="C86" s="4">
        <v>0</v>
      </c>
      <c r="D86" s="4">
        <v>1</v>
      </c>
      <c r="E86" s="4">
        <v>230</v>
      </c>
      <c r="F86" s="4">
        <f>ROUND(Source!BA66,O86)</f>
        <v>0</v>
      </c>
      <c r="G86" s="4" t="s">
        <v>100</v>
      </c>
      <c r="H86" s="4" t="s">
        <v>101</v>
      </c>
      <c r="I86" s="4"/>
      <c r="J86" s="4"/>
      <c r="K86" s="4">
        <v>230</v>
      </c>
      <c r="L86" s="4">
        <v>19</v>
      </c>
      <c r="M86" s="4">
        <v>3</v>
      </c>
      <c r="N86" s="4" t="s">
        <v>3</v>
      </c>
      <c r="O86" s="4">
        <v>2</v>
      </c>
      <c r="P86" s="4"/>
      <c r="Q86" s="4"/>
      <c r="R86" s="4"/>
      <c r="S86" s="4"/>
      <c r="T86" s="4"/>
      <c r="U86" s="4"/>
      <c r="V86" s="4"/>
      <c r="W86" s="4"/>
    </row>
    <row r="87" spans="1:23" x14ac:dyDescent="0.2">
      <c r="A87" s="4">
        <v>50</v>
      </c>
      <c r="B87" s="4">
        <v>0</v>
      </c>
      <c r="C87" s="4">
        <v>0</v>
      </c>
      <c r="D87" s="4">
        <v>1</v>
      </c>
      <c r="E87" s="4">
        <v>206</v>
      </c>
      <c r="F87" s="4">
        <f>ROUND(Source!T66,O87)</f>
        <v>0</v>
      </c>
      <c r="G87" s="4" t="s">
        <v>102</v>
      </c>
      <c r="H87" s="4" t="s">
        <v>103</v>
      </c>
      <c r="I87" s="4"/>
      <c r="J87" s="4"/>
      <c r="K87" s="4">
        <v>206</v>
      </c>
      <c r="L87" s="4">
        <v>20</v>
      </c>
      <c r="M87" s="4">
        <v>3</v>
      </c>
      <c r="N87" s="4" t="s">
        <v>3</v>
      </c>
      <c r="O87" s="4">
        <v>2</v>
      </c>
      <c r="P87" s="4"/>
      <c r="Q87" s="4"/>
      <c r="R87" s="4"/>
      <c r="S87" s="4"/>
      <c r="T87" s="4"/>
      <c r="U87" s="4"/>
      <c r="V87" s="4"/>
      <c r="W87" s="4"/>
    </row>
    <row r="88" spans="1:23" x14ac:dyDescent="0.2">
      <c r="A88" s="4">
        <v>50</v>
      </c>
      <c r="B88" s="4">
        <v>0</v>
      </c>
      <c r="C88" s="4">
        <v>0</v>
      </c>
      <c r="D88" s="4">
        <v>1</v>
      </c>
      <c r="E88" s="4">
        <v>207</v>
      </c>
      <c r="F88" s="4">
        <f>Source!U66</f>
        <v>4425.0309999999999</v>
      </c>
      <c r="G88" s="4" t="s">
        <v>104</v>
      </c>
      <c r="H88" s="4" t="s">
        <v>105</v>
      </c>
      <c r="I88" s="4"/>
      <c r="J88" s="4"/>
      <c r="K88" s="4">
        <v>207</v>
      </c>
      <c r="L88" s="4">
        <v>21</v>
      </c>
      <c r="M88" s="4">
        <v>3</v>
      </c>
      <c r="N88" s="4" t="s">
        <v>3</v>
      </c>
      <c r="O88" s="4">
        <v>-1</v>
      </c>
      <c r="P88" s="4"/>
      <c r="Q88" s="4"/>
      <c r="R88" s="4"/>
      <c r="S88" s="4"/>
      <c r="T88" s="4"/>
      <c r="U88" s="4"/>
      <c r="V88" s="4"/>
      <c r="W88" s="4"/>
    </row>
    <row r="89" spans="1:23" x14ac:dyDescent="0.2">
      <c r="A89" s="4">
        <v>50</v>
      </c>
      <c r="B89" s="4">
        <v>0</v>
      </c>
      <c r="C89" s="4">
        <v>0</v>
      </c>
      <c r="D89" s="4">
        <v>1</v>
      </c>
      <c r="E89" s="4">
        <v>208</v>
      </c>
      <c r="F89" s="4">
        <f>Source!V66</f>
        <v>0</v>
      </c>
      <c r="G89" s="4" t="s">
        <v>106</v>
      </c>
      <c r="H89" s="4" t="s">
        <v>107</v>
      </c>
      <c r="I89" s="4"/>
      <c r="J89" s="4"/>
      <c r="K89" s="4">
        <v>208</v>
      </c>
      <c r="L89" s="4">
        <v>22</v>
      </c>
      <c r="M89" s="4">
        <v>3</v>
      </c>
      <c r="N89" s="4" t="s">
        <v>3</v>
      </c>
      <c r="O89" s="4">
        <v>-1</v>
      </c>
      <c r="P89" s="4"/>
      <c r="Q89" s="4"/>
      <c r="R89" s="4"/>
      <c r="S89" s="4"/>
      <c r="T89" s="4"/>
      <c r="U89" s="4"/>
      <c r="V89" s="4"/>
      <c r="W89" s="4"/>
    </row>
    <row r="90" spans="1:23" x14ac:dyDescent="0.2">
      <c r="A90" s="4">
        <v>50</v>
      </c>
      <c r="B90" s="4">
        <v>0</v>
      </c>
      <c r="C90" s="4">
        <v>0</v>
      </c>
      <c r="D90" s="4">
        <v>1</v>
      </c>
      <c r="E90" s="4">
        <v>209</v>
      </c>
      <c r="F90" s="4">
        <f>ROUND(Source!W66,O90)</f>
        <v>0</v>
      </c>
      <c r="G90" s="4" t="s">
        <v>108</v>
      </c>
      <c r="H90" s="4" t="s">
        <v>109</v>
      </c>
      <c r="I90" s="4"/>
      <c r="J90" s="4"/>
      <c r="K90" s="4">
        <v>209</v>
      </c>
      <c r="L90" s="4">
        <v>23</v>
      </c>
      <c r="M90" s="4">
        <v>3</v>
      </c>
      <c r="N90" s="4" t="s">
        <v>3</v>
      </c>
      <c r="O90" s="4">
        <v>2</v>
      </c>
      <c r="P90" s="4"/>
      <c r="Q90" s="4"/>
      <c r="R90" s="4"/>
      <c r="S90" s="4"/>
      <c r="T90" s="4"/>
      <c r="U90" s="4"/>
      <c r="V90" s="4"/>
      <c r="W90" s="4"/>
    </row>
    <row r="91" spans="1:23" x14ac:dyDescent="0.2">
      <c r="A91" s="4">
        <v>50</v>
      </c>
      <c r="B91" s="4">
        <v>0</v>
      </c>
      <c r="C91" s="4">
        <v>0</v>
      </c>
      <c r="D91" s="4">
        <v>1</v>
      </c>
      <c r="E91" s="4">
        <v>233</v>
      </c>
      <c r="F91" s="4">
        <f>ROUND(Source!BD66,O91)</f>
        <v>0</v>
      </c>
      <c r="G91" s="4" t="s">
        <v>110</v>
      </c>
      <c r="H91" s="4" t="s">
        <v>111</v>
      </c>
      <c r="I91" s="4"/>
      <c r="J91" s="4"/>
      <c r="K91" s="4">
        <v>233</v>
      </c>
      <c r="L91" s="4">
        <v>24</v>
      </c>
      <c r="M91" s="4">
        <v>3</v>
      </c>
      <c r="N91" s="4" t="s">
        <v>3</v>
      </c>
      <c r="O91" s="4">
        <v>2</v>
      </c>
      <c r="P91" s="4"/>
      <c r="Q91" s="4"/>
      <c r="R91" s="4"/>
      <c r="S91" s="4"/>
      <c r="T91" s="4"/>
      <c r="U91" s="4"/>
      <c r="V91" s="4"/>
      <c r="W91" s="4"/>
    </row>
    <row r="92" spans="1:23" x14ac:dyDescent="0.2">
      <c r="A92" s="4">
        <v>50</v>
      </c>
      <c r="B92" s="4">
        <v>0</v>
      </c>
      <c r="C92" s="4">
        <v>0</v>
      </c>
      <c r="D92" s="4">
        <v>1</v>
      </c>
      <c r="E92" s="4">
        <v>210</v>
      </c>
      <c r="F92" s="4">
        <f>ROUND(Source!X66,O92)</f>
        <v>716427.67</v>
      </c>
      <c r="G92" s="4" t="s">
        <v>112</v>
      </c>
      <c r="H92" s="4" t="s">
        <v>113</v>
      </c>
      <c r="I92" s="4"/>
      <c r="J92" s="4"/>
      <c r="K92" s="4">
        <v>210</v>
      </c>
      <c r="L92" s="4">
        <v>25</v>
      </c>
      <c r="M92" s="4">
        <v>3</v>
      </c>
      <c r="N92" s="4" t="s">
        <v>3</v>
      </c>
      <c r="O92" s="4">
        <v>2</v>
      </c>
      <c r="P92" s="4"/>
      <c r="Q92" s="4"/>
      <c r="R92" s="4"/>
      <c r="S92" s="4"/>
      <c r="T92" s="4"/>
      <c r="U92" s="4"/>
      <c r="V92" s="4"/>
      <c r="W92" s="4"/>
    </row>
    <row r="93" spans="1:23" x14ac:dyDescent="0.2">
      <c r="A93" s="4">
        <v>50</v>
      </c>
      <c r="B93" s="4">
        <v>0</v>
      </c>
      <c r="C93" s="4">
        <v>0</v>
      </c>
      <c r="D93" s="4">
        <v>1</v>
      </c>
      <c r="E93" s="4">
        <v>211</v>
      </c>
      <c r="F93" s="4">
        <f>ROUND(Source!Y66,O93)</f>
        <v>0</v>
      </c>
      <c r="G93" s="4" t="s">
        <v>114</v>
      </c>
      <c r="H93" s="4" t="s">
        <v>115</v>
      </c>
      <c r="I93" s="4"/>
      <c r="J93" s="4"/>
      <c r="K93" s="4">
        <v>211</v>
      </c>
      <c r="L93" s="4">
        <v>26</v>
      </c>
      <c r="M93" s="4">
        <v>3</v>
      </c>
      <c r="N93" s="4" t="s">
        <v>3</v>
      </c>
      <c r="O93" s="4">
        <v>2</v>
      </c>
      <c r="P93" s="4"/>
      <c r="Q93" s="4"/>
      <c r="R93" s="4"/>
      <c r="S93" s="4"/>
      <c r="T93" s="4"/>
      <c r="U93" s="4"/>
      <c r="V93" s="4"/>
      <c r="W93" s="4"/>
    </row>
    <row r="94" spans="1:23" x14ac:dyDescent="0.2">
      <c r="A94" s="4">
        <v>50</v>
      </c>
      <c r="B94" s="4">
        <v>0</v>
      </c>
      <c r="C94" s="4">
        <v>0</v>
      </c>
      <c r="D94" s="4">
        <v>1</v>
      </c>
      <c r="E94" s="4">
        <v>224</v>
      </c>
      <c r="F94" s="4">
        <f>ROUND(Source!AR66,O94)</f>
        <v>2981471.21</v>
      </c>
      <c r="G94" s="4" t="s">
        <v>116</v>
      </c>
      <c r="H94" s="4" t="s">
        <v>117</v>
      </c>
      <c r="I94" s="4"/>
      <c r="J94" s="4"/>
      <c r="K94" s="4">
        <v>224</v>
      </c>
      <c r="L94" s="4">
        <v>27</v>
      </c>
      <c r="M94" s="4">
        <v>3</v>
      </c>
      <c r="N94" s="4" t="s">
        <v>3</v>
      </c>
      <c r="O94" s="4">
        <v>2</v>
      </c>
      <c r="P94" s="4"/>
      <c r="Q94" s="4"/>
      <c r="R94" s="4"/>
      <c r="S94" s="4"/>
      <c r="T94" s="4"/>
      <c r="U94" s="4"/>
      <c r="V94" s="4"/>
      <c r="W94" s="4"/>
    </row>
    <row r="95" spans="1:23" x14ac:dyDescent="0.2">
      <c r="A95" s="4">
        <v>50</v>
      </c>
      <c r="B95" s="4">
        <v>1</v>
      </c>
      <c r="C95" s="4">
        <v>0</v>
      </c>
      <c r="D95" s="4">
        <v>2</v>
      </c>
      <c r="E95" s="4">
        <v>0</v>
      </c>
      <c r="F95" s="4">
        <f>ROUND(F94,O95)</f>
        <v>2981471.21</v>
      </c>
      <c r="G95" s="4" t="s">
        <v>118</v>
      </c>
      <c r="H95" s="4" t="s">
        <v>119</v>
      </c>
      <c r="I95" s="4"/>
      <c r="J95" s="4"/>
      <c r="K95" s="4">
        <v>212</v>
      </c>
      <c r="L95" s="4">
        <v>28</v>
      </c>
      <c r="M95" s="4">
        <v>0</v>
      </c>
      <c r="N95" s="4" t="s">
        <v>3</v>
      </c>
      <c r="O95" s="4">
        <v>2</v>
      </c>
      <c r="P95" s="4"/>
      <c r="Q95" s="4"/>
      <c r="R95" s="4"/>
      <c r="S95" s="4"/>
      <c r="T95" s="4"/>
      <c r="U95" s="4"/>
      <c r="V95" s="4"/>
      <c r="W95" s="4"/>
    </row>
    <row r="96" spans="1:23" x14ac:dyDescent="0.2">
      <c r="A96" s="4">
        <v>50</v>
      </c>
      <c r="B96" s="4">
        <v>1</v>
      </c>
      <c r="C96" s="4">
        <v>0</v>
      </c>
      <c r="D96" s="4">
        <v>2</v>
      </c>
      <c r="E96" s="4">
        <v>0</v>
      </c>
      <c r="F96" s="4">
        <f>ROUND((F72)*0.2,O96)</f>
        <v>215801.65</v>
      </c>
      <c r="G96" s="4" t="s">
        <v>120</v>
      </c>
      <c r="H96" s="4" t="s">
        <v>121</v>
      </c>
      <c r="I96" s="4"/>
      <c r="J96" s="4"/>
      <c r="K96" s="4">
        <v>212</v>
      </c>
      <c r="L96" s="4">
        <v>29</v>
      </c>
      <c r="M96" s="4">
        <v>0</v>
      </c>
      <c r="N96" s="4" t="s">
        <v>3</v>
      </c>
      <c r="O96" s="4">
        <v>2</v>
      </c>
      <c r="P96" s="4"/>
      <c r="Q96" s="4"/>
      <c r="R96" s="4"/>
      <c r="S96" s="4"/>
      <c r="T96" s="4"/>
      <c r="U96" s="4"/>
      <c r="V96" s="4"/>
      <c r="W96" s="4"/>
    </row>
    <row r="97" spans="1:23" x14ac:dyDescent="0.2">
      <c r="A97" s="4">
        <v>50</v>
      </c>
      <c r="B97" s="4">
        <v>1</v>
      </c>
      <c r="C97" s="4">
        <v>0</v>
      </c>
      <c r="D97" s="4">
        <v>2</v>
      </c>
      <c r="E97" s="4">
        <v>213</v>
      </c>
      <c r="F97" s="4">
        <f>ROUND(F95+F96,O97)</f>
        <v>3197272.86</v>
      </c>
      <c r="G97" s="4" t="s">
        <v>122</v>
      </c>
      <c r="H97" s="4" t="s">
        <v>116</v>
      </c>
      <c r="I97" s="4"/>
      <c r="J97" s="4"/>
      <c r="K97" s="4">
        <v>212</v>
      </c>
      <c r="L97" s="4">
        <v>30</v>
      </c>
      <c r="M97" s="4">
        <v>0</v>
      </c>
      <c r="N97" s="4" t="s">
        <v>3</v>
      </c>
      <c r="O97" s="4">
        <v>2</v>
      </c>
      <c r="P97" s="4"/>
      <c r="Q97" s="4"/>
      <c r="R97" s="4"/>
      <c r="S97" s="4"/>
      <c r="T97" s="4"/>
      <c r="U97" s="4"/>
      <c r="V97" s="4"/>
      <c r="W97" s="4"/>
    </row>
    <row r="100" spans="1:23" x14ac:dyDescent="0.2">
      <c r="A100">
        <v>-1</v>
      </c>
    </row>
    <row r="102" spans="1:23" x14ac:dyDescent="0.2">
      <c r="A102" s="3">
        <v>75</v>
      </c>
      <c r="B102" s="3" t="s">
        <v>123</v>
      </c>
      <c r="C102" s="3">
        <v>2019</v>
      </c>
      <c r="D102" s="3">
        <v>0</v>
      </c>
      <c r="E102" s="3">
        <v>10</v>
      </c>
      <c r="F102" s="3">
        <v>0</v>
      </c>
      <c r="G102" s="3">
        <v>0</v>
      </c>
      <c r="H102" s="3">
        <v>1</v>
      </c>
      <c r="I102" s="3">
        <v>0</v>
      </c>
      <c r="J102" s="3">
        <v>1</v>
      </c>
      <c r="K102" s="3">
        <v>78</v>
      </c>
      <c r="L102" s="3">
        <v>0</v>
      </c>
      <c r="M102" s="3">
        <v>0</v>
      </c>
      <c r="N102" s="3">
        <v>46983916</v>
      </c>
      <c r="O102" s="3">
        <v>1</v>
      </c>
    </row>
    <row r="106" spans="1:23" x14ac:dyDescent="0.2">
      <c r="A106">
        <v>65</v>
      </c>
      <c r="C106">
        <v>1</v>
      </c>
      <c r="D106">
        <v>0</v>
      </c>
      <c r="E106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4"/>
  <sheetViews>
    <sheetView workbookViewId="0">
      <selection activeCell="A102" sqref="A102:O102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124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20004</v>
      </c>
      <c r="M1">
        <v>10</v>
      </c>
      <c r="N1">
        <v>11</v>
      </c>
      <c r="O1">
        <v>0</v>
      </c>
      <c r="P1">
        <v>0</v>
      </c>
      <c r="Q1">
        <v>6</v>
      </c>
    </row>
    <row r="12" spans="1:133" x14ac:dyDescent="0.2">
      <c r="A12" s="1">
        <v>1</v>
      </c>
      <c r="B12" s="1">
        <v>54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78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10</v>
      </c>
      <c r="CB12" s="1" t="s">
        <v>10</v>
      </c>
      <c r="CC12" s="1" t="s">
        <v>10</v>
      </c>
      <c r="CD12" s="1" t="s">
        <v>10</v>
      </c>
      <c r="CE12" s="1" t="s">
        <v>11</v>
      </c>
      <c r="CF12" s="1">
        <v>0</v>
      </c>
      <c r="CG12" s="1">
        <v>0</v>
      </c>
      <c r="CH12" s="1">
        <v>16777224</v>
      </c>
      <c r="CI12" s="1" t="s">
        <v>3</v>
      </c>
      <c r="CJ12" s="1" t="s">
        <v>3</v>
      </c>
      <c r="CK12" s="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46983916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5">
        <v>3</v>
      </c>
      <c r="B16" s="5">
        <v>1</v>
      </c>
      <c r="C16" s="5" t="s">
        <v>12</v>
      </c>
      <c r="D16" s="5" t="s">
        <v>12</v>
      </c>
      <c r="E16" s="6">
        <f>(Source!F53)/1000</f>
        <v>0</v>
      </c>
      <c r="F16" s="6">
        <f>(Source!F54)/1000</f>
        <v>0</v>
      </c>
      <c r="G16" s="6">
        <f>(Source!F45)/1000</f>
        <v>0</v>
      </c>
      <c r="H16" s="6">
        <f>(Source!F55)/1000+(Source!F56)/1000</f>
        <v>2981.4712100000002</v>
      </c>
      <c r="I16" s="6">
        <f>E16+F16+G16+H16</f>
        <v>2981.4712100000002</v>
      </c>
      <c r="J16" s="6">
        <f>(Source!F51)/1000</f>
        <v>1023.46811</v>
      </c>
      <c r="AI16" s="5">
        <v>0</v>
      </c>
      <c r="AJ16" s="5">
        <v>0</v>
      </c>
      <c r="AK16" s="5" t="s">
        <v>3</v>
      </c>
      <c r="AL16" s="5" t="s">
        <v>3</v>
      </c>
      <c r="AM16" s="5" t="s">
        <v>3</v>
      </c>
      <c r="AN16" s="5">
        <v>0</v>
      </c>
      <c r="AO16" s="5" t="s">
        <v>3</v>
      </c>
      <c r="AP16" s="5" t="s">
        <v>3</v>
      </c>
      <c r="AT16" s="6">
        <v>2253055.52</v>
      </c>
      <c r="AU16" s="6">
        <v>1079008.25</v>
      </c>
      <c r="AV16" s="6">
        <v>0</v>
      </c>
      <c r="AW16" s="6">
        <v>0</v>
      </c>
      <c r="AX16" s="6">
        <v>0</v>
      </c>
      <c r="AY16" s="6">
        <v>150579.16</v>
      </c>
      <c r="AZ16" s="6">
        <v>74489.13</v>
      </c>
      <c r="BA16" s="6">
        <v>1023468.11</v>
      </c>
      <c r="BB16" s="6">
        <v>0</v>
      </c>
      <c r="BC16" s="6">
        <v>0</v>
      </c>
      <c r="BD16" s="6">
        <v>2981471.21</v>
      </c>
      <c r="BE16" s="6">
        <v>0</v>
      </c>
      <c r="BF16" s="6">
        <v>4425.0309999999999</v>
      </c>
      <c r="BG16" s="6">
        <v>0</v>
      </c>
      <c r="BH16" s="6">
        <v>0</v>
      </c>
      <c r="BI16" s="6">
        <v>716427.67</v>
      </c>
      <c r="BJ16" s="6">
        <v>0</v>
      </c>
      <c r="BK16" s="6">
        <v>2981471.21</v>
      </c>
    </row>
    <row r="18" spans="1:19" x14ac:dyDescent="0.2">
      <c r="A18">
        <v>51</v>
      </c>
      <c r="E18" s="7">
        <f>SUMIF(A16:A17,3,E16:E17)</f>
        <v>0</v>
      </c>
      <c r="F18" s="7">
        <f>SUMIF(A16:A17,3,F16:F17)</f>
        <v>0</v>
      </c>
      <c r="G18" s="7">
        <f>SUMIF(A16:A17,3,G16:G17)</f>
        <v>0</v>
      </c>
      <c r="H18" s="7">
        <f>SUMIF(A16:A17,3,H16:H17)</f>
        <v>2981.4712100000002</v>
      </c>
      <c r="I18" s="7">
        <f>SUMIF(A16:A17,3,I16:I17)</f>
        <v>2981.4712100000002</v>
      </c>
      <c r="J18" s="7">
        <f>SUMIF(A16:A17,3,J16:J17)</f>
        <v>1023.46811</v>
      </c>
      <c r="K18" s="7"/>
      <c r="L18" s="7"/>
      <c r="M18" s="7"/>
      <c r="N18" s="7"/>
      <c r="O18" s="7"/>
      <c r="P18" s="7"/>
      <c r="Q18" s="7"/>
      <c r="R18" s="7"/>
      <c r="S18" s="7"/>
    </row>
    <row r="20" spans="1:19" x14ac:dyDescent="0.2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2253055.52</v>
      </c>
      <c r="G20" s="4" t="s">
        <v>64</v>
      </c>
      <c r="H20" s="4" t="s">
        <v>65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 x14ac:dyDescent="0.2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1079008.25</v>
      </c>
      <c r="G21" s="4" t="s">
        <v>66</v>
      </c>
      <c r="H21" s="4" t="s">
        <v>67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 x14ac:dyDescent="0.2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68</v>
      </c>
      <c r="H22" s="4" t="s">
        <v>69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 x14ac:dyDescent="0.2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1079008.25</v>
      </c>
      <c r="G23" s="4" t="s">
        <v>70</v>
      </c>
      <c r="H23" s="4" t="s">
        <v>71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 x14ac:dyDescent="0.2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1079008.25</v>
      </c>
      <c r="G24" s="4" t="s">
        <v>72</v>
      </c>
      <c r="H24" s="4" t="s">
        <v>73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 x14ac:dyDescent="0.2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74</v>
      </c>
      <c r="H25" s="4" t="s">
        <v>75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 x14ac:dyDescent="0.2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1079008.25</v>
      </c>
      <c r="G26" s="4" t="s">
        <v>76</v>
      </c>
      <c r="H26" s="4" t="s">
        <v>77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 x14ac:dyDescent="0.2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78</v>
      </c>
      <c r="H27" s="4" t="s">
        <v>79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 x14ac:dyDescent="0.2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80</v>
      </c>
      <c r="H28" s="4" t="s">
        <v>81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 x14ac:dyDescent="0.2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82</v>
      </c>
      <c r="H29" s="4" t="s">
        <v>83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 x14ac:dyDescent="0.2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150579.16</v>
      </c>
      <c r="G30" s="4" t="s">
        <v>84</v>
      </c>
      <c r="H30" s="4" t="s">
        <v>85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86</v>
      </c>
      <c r="H31" s="4" t="s">
        <v>87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74489.13</v>
      </c>
      <c r="G32" s="4" t="s">
        <v>88</v>
      </c>
      <c r="H32" s="4" t="s">
        <v>89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 x14ac:dyDescent="0.2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1023468.11</v>
      </c>
      <c r="G33" s="4" t="s">
        <v>90</v>
      </c>
      <c r="H33" s="4" t="s">
        <v>91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92</v>
      </c>
      <c r="H34" s="4" t="s">
        <v>93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0</v>
      </c>
      <c r="G35" s="4" t="s">
        <v>94</v>
      </c>
      <c r="H35" s="4" t="s">
        <v>95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 x14ac:dyDescent="0.2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0</v>
      </c>
      <c r="G36" s="4" t="s">
        <v>96</v>
      </c>
      <c r="H36" s="4" t="s">
        <v>97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 x14ac:dyDescent="0.2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2981471.21</v>
      </c>
      <c r="G37" s="4" t="s">
        <v>98</v>
      </c>
      <c r="H37" s="4" t="s">
        <v>99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100</v>
      </c>
      <c r="H38" s="4" t="s">
        <v>101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102</v>
      </c>
      <c r="H39" s="4" t="s">
        <v>103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 x14ac:dyDescent="0.2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4425.0309999999999</v>
      </c>
      <c r="G40" s="4" t="s">
        <v>104</v>
      </c>
      <c r="H40" s="4" t="s">
        <v>105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 x14ac:dyDescent="0.2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0</v>
      </c>
      <c r="G41" s="4" t="s">
        <v>106</v>
      </c>
      <c r="H41" s="4" t="s">
        <v>107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 x14ac:dyDescent="0.2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108</v>
      </c>
      <c r="H42" s="4" t="s">
        <v>109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 x14ac:dyDescent="0.2">
      <c r="A43" s="4">
        <v>50</v>
      </c>
      <c r="B43" s="4">
        <v>0</v>
      </c>
      <c r="C43" s="4">
        <v>0</v>
      </c>
      <c r="D43" s="4">
        <v>1</v>
      </c>
      <c r="E43" s="4">
        <v>233</v>
      </c>
      <c r="F43" s="4">
        <v>0</v>
      </c>
      <c r="G43" s="4" t="s">
        <v>110</v>
      </c>
      <c r="H43" s="4" t="s">
        <v>111</v>
      </c>
      <c r="I43" s="4"/>
      <c r="J43" s="4"/>
      <c r="K43" s="4">
        <v>233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 x14ac:dyDescent="0.2">
      <c r="A44" s="4">
        <v>50</v>
      </c>
      <c r="B44" s="4">
        <v>0</v>
      </c>
      <c r="C44" s="4">
        <v>0</v>
      </c>
      <c r="D44" s="4">
        <v>1</v>
      </c>
      <c r="E44" s="4">
        <v>210</v>
      </c>
      <c r="F44" s="4">
        <v>716427.67</v>
      </c>
      <c r="G44" s="4" t="s">
        <v>112</v>
      </c>
      <c r="H44" s="4" t="s">
        <v>113</v>
      </c>
      <c r="I44" s="4"/>
      <c r="J44" s="4"/>
      <c r="K44" s="4">
        <v>210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 x14ac:dyDescent="0.2">
      <c r="A45" s="4">
        <v>50</v>
      </c>
      <c r="B45" s="4">
        <v>0</v>
      </c>
      <c r="C45" s="4">
        <v>0</v>
      </c>
      <c r="D45" s="4">
        <v>1</v>
      </c>
      <c r="E45" s="4">
        <v>211</v>
      </c>
      <c r="F45" s="4">
        <v>0</v>
      </c>
      <c r="G45" s="4" t="s">
        <v>114</v>
      </c>
      <c r="H45" s="4" t="s">
        <v>115</v>
      </c>
      <c r="I45" s="4"/>
      <c r="J45" s="4"/>
      <c r="K45" s="4">
        <v>211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6" spans="1:16" x14ac:dyDescent="0.2">
      <c r="A46" s="4">
        <v>50</v>
      </c>
      <c r="B46" s="4">
        <v>0</v>
      </c>
      <c r="C46" s="4">
        <v>0</v>
      </c>
      <c r="D46" s="4">
        <v>1</v>
      </c>
      <c r="E46" s="4">
        <v>224</v>
      </c>
      <c r="F46" s="4">
        <v>2981471.21</v>
      </c>
      <c r="G46" s="4" t="s">
        <v>116</v>
      </c>
      <c r="H46" s="4" t="s">
        <v>117</v>
      </c>
      <c r="I46" s="4"/>
      <c r="J46" s="4"/>
      <c r="K46" s="4">
        <v>224</v>
      </c>
      <c r="L46" s="4">
        <v>27</v>
      </c>
      <c r="M46" s="4">
        <v>3</v>
      </c>
      <c r="N46" s="4" t="s">
        <v>3</v>
      </c>
      <c r="O46" s="4">
        <v>2</v>
      </c>
      <c r="P46" s="4"/>
    </row>
    <row r="47" spans="1:16" x14ac:dyDescent="0.2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2981471.21</v>
      </c>
      <c r="G47" s="4" t="s">
        <v>118</v>
      </c>
      <c r="H47" s="4" t="s">
        <v>119</v>
      </c>
      <c r="I47" s="4"/>
      <c r="J47" s="4"/>
      <c r="K47" s="4">
        <v>212</v>
      </c>
      <c r="L47" s="4">
        <v>28</v>
      </c>
      <c r="M47" s="4">
        <v>0</v>
      </c>
      <c r="N47" s="4" t="s">
        <v>3</v>
      </c>
      <c r="O47" s="4">
        <v>2</v>
      </c>
      <c r="P47" s="4"/>
    </row>
    <row r="48" spans="1:16" x14ac:dyDescent="0.2">
      <c r="A48" s="4">
        <v>50</v>
      </c>
      <c r="B48" s="4">
        <v>1</v>
      </c>
      <c r="C48" s="4">
        <v>0</v>
      </c>
      <c r="D48" s="4">
        <v>2</v>
      </c>
      <c r="E48" s="4">
        <v>0</v>
      </c>
      <c r="F48" s="4">
        <v>215801.65</v>
      </c>
      <c r="G48" s="4" t="s">
        <v>120</v>
      </c>
      <c r="H48" s="4" t="s">
        <v>121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2</v>
      </c>
      <c r="P48" s="4"/>
    </row>
    <row r="49" spans="1:16" x14ac:dyDescent="0.2">
      <c r="A49" s="4">
        <v>50</v>
      </c>
      <c r="B49" s="4">
        <v>1</v>
      </c>
      <c r="C49" s="4">
        <v>0</v>
      </c>
      <c r="D49" s="4">
        <v>2</v>
      </c>
      <c r="E49" s="4">
        <v>213</v>
      </c>
      <c r="F49" s="4">
        <v>3197272.86</v>
      </c>
      <c r="G49" s="4" t="s">
        <v>122</v>
      </c>
      <c r="H49" s="4" t="s">
        <v>116</v>
      </c>
      <c r="I49" s="4"/>
      <c r="J49" s="4"/>
      <c r="K49" s="4">
        <v>212</v>
      </c>
      <c r="L49" s="4">
        <v>30</v>
      </c>
      <c r="M49" s="4">
        <v>0</v>
      </c>
      <c r="N49" s="4" t="s">
        <v>3</v>
      </c>
      <c r="O49" s="4">
        <v>2</v>
      </c>
      <c r="P49" s="4"/>
    </row>
    <row r="51" spans="1:16" x14ac:dyDescent="0.2">
      <c r="A51">
        <v>-1</v>
      </c>
    </row>
    <row r="54" spans="1:16" x14ac:dyDescent="0.2">
      <c r="A54" s="3">
        <v>75</v>
      </c>
      <c r="B54" s="3" t="s">
        <v>123</v>
      </c>
      <c r="C54" s="3">
        <v>2019</v>
      </c>
      <c r="D54" s="3">
        <v>0</v>
      </c>
      <c r="E54" s="3">
        <v>10</v>
      </c>
      <c r="F54" s="3">
        <v>0</v>
      </c>
      <c r="G54" s="3">
        <v>0</v>
      </c>
      <c r="H54" s="3">
        <v>1</v>
      </c>
      <c r="I54" s="3">
        <v>0</v>
      </c>
      <c r="J54" s="3">
        <v>1</v>
      </c>
      <c r="K54" s="3">
        <v>78</v>
      </c>
      <c r="L54" s="3">
        <v>0</v>
      </c>
      <c r="M54" s="3">
        <v>0</v>
      </c>
      <c r="N54" s="3">
        <v>46983916</v>
      </c>
      <c r="O54" s="3">
        <v>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8"/>
  <sheetViews>
    <sheetView workbookViewId="0">
      <selection activeCell="A102" sqref="A102:O102"/>
    </sheetView>
  </sheetViews>
  <sheetFormatPr defaultColWidth="9.140625" defaultRowHeight="12.75" x14ac:dyDescent="0.2"/>
  <cols>
    <col min="1" max="256" width="9.140625" customWidth="1"/>
  </cols>
  <sheetData>
    <row r="1" spans="1:107" x14ac:dyDescent="0.2">
      <c r="A1">
        <f>ROW(Source!A25)</f>
        <v>25</v>
      </c>
      <c r="B1">
        <v>46983916</v>
      </c>
      <c r="C1">
        <v>47004808</v>
      </c>
      <c r="D1">
        <v>45803296</v>
      </c>
      <c r="E1">
        <v>25</v>
      </c>
      <c r="F1">
        <v>1</v>
      </c>
      <c r="G1">
        <v>25</v>
      </c>
      <c r="H1">
        <v>1</v>
      </c>
      <c r="I1" t="s">
        <v>125</v>
      </c>
      <c r="J1" t="s">
        <v>3</v>
      </c>
      <c r="K1" t="s">
        <v>126</v>
      </c>
      <c r="L1">
        <v>1191</v>
      </c>
      <c r="N1">
        <v>1013</v>
      </c>
      <c r="O1" t="s">
        <v>127</v>
      </c>
      <c r="P1" t="s">
        <v>127</v>
      </c>
      <c r="Q1">
        <v>1</v>
      </c>
      <c r="W1">
        <v>0</v>
      </c>
      <c r="X1">
        <v>476480486</v>
      </c>
      <c r="Y1">
        <v>18.68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18.68</v>
      </c>
      <c r="AU1" t="s">
        <v>3</v>
      </c>
      <c r="AV1">
        <v>1</v>
      </c>
      <c r="AW1">
        <v>2</v>
      </c>
      <c r="AX1">
        <v>47004828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Y1*Source!I25</f>
        <v>156.16479999999999</v>
      </c>
      <c r="CY1">
        <f>AD1</f>
        <v>0</v>
      </c>
      <c r="CZ1">
        <f>AH1</f>
        <v>0</v>
      </c>
      <c r="DA1">
        <f>AL1</f>
        <v>1</v>
      </c>
      <c r="DB1">
        <f t="shared" ref="DB1:DB7" si="0">ROUND(ROUND(AT1*CZ1,2),6)</f>
        <v>0</v>
      </c>
      <c r="DC1">
        <f t="shared" ref="DC1:DC7" si="1">ROUND(ROUND(AT1*AG1,2),6)</f>
        <v>0</v>
      </c>
    </row>
    <row r="2" spans="1:107" x14ac:dyDescent="0.2">
      <c r="A2">
        <f>ROW(Source!A26)</f>
        <v>26</v>
      </c>
      <c r="B2">
        <v>46983916</v>
      </c>
      <c r="C2">
        <v>47004842</v>
      </c>
      <c r="D2">
        <v>45803296</v>
      </c>
      <c r="E2">
        <v>25</v>
      </c>
      <c r="F2">
        <v>1</v>
      </c>
      <c r="G2">
        <v>25</v>
      </c>
      <c r="H2">
        <v>1</v>
      </c>
      <c r="I2" t="s">
        <v>125</v>
      </c>
      <c r="J2" t="s">
        <v>3</v>
      </c>
      <c r="K2" t="s">
        <v>126</v>
      </c>
      <c r="L2">
        <v>1191</v>
      </c>
      <c r="N2">
        <v>1013</v>
      </c>
      <c r="O2" t="s">
        <v>127</v>
      </c>
      <c r="P2" t="s">
        <v>127</v>
      </c>
      <c r="Q2">
        <v>1</v>
      </c>
      <c r="W2">
        <v>0</v>
      </c>
      <c r="X2">
        <v>476480486</v>
      </c>
      <c r="Y2">
        <v>49.5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49.5</v>
      </c>
      <c r="AU2" t="s">
        <v>3</v>
      </c>
      <c r="AV2">
        <v>1</v>
      </c>
      <c r="AW2">
        <v>2</v>
      </c>
      <c r="AX2">
        <v>47004843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Y2*Source!I26</f>
        <v>24.7302</v>
      </c>
      <c r="CY2">
        <f>AD2</f>
        <v>0</v>
      </c>
      <c r="CZ2">
        <f>AH2</f>
        <v>0</v>
      </c>
      <c r="DA2">
        <f>AL2</f>
        <v>1</v>
      </c>
      <c r="DB2">
        <f t="shared" si="0"/>
        <v>0</v>
      </c>
      <c r="DC2">
        <f t="shared" si="1"/>
        <v>0</v>
      </c>
    </row>
    <row r="3" spans="1:107" x14ac:dyDescent="0.2">
      <c r="A3">
        <f>ROW(Source!A26)</f>
        <v>26</v>
      </c>
      <c r="B3">
        <v>46983916</v>
      </c>
      <c r="C3">
        <v>47004842</v>
      </c>
      <c r="D3">
        <v>45819515</v>
      </c>
      <c r="E3">
        <v>1</v>
      </c>
      <c r="F3">
        <v>1</v>
      </c>
      <c r="G3">
        <v>25</v>
      </c>
      <c r="H3">
        <v>2</v>
      </c>
      <c r="I3" t="s">
        <v>128</v>
      </c>
      <c r="J3" t="s">
        <v>129</v>
      </c>
      <c r="K3" t="s">
        <v>130</v>
      </c>
      <c r="L3">
        <v>1368</v>
      </c>
      <c r="N3">
        <v>1011</v>
      </c>
      <c r="O3" t="s">
        <v>131</v>
      </c>
      <c r="P3" t="s">
        <v>131</v>
      </c>
      <c r="Q3">
        <v>1</v>
      </c>
      <c r="W3">
        <v>0</v>
      </c>
      <c r="X3">
        <v>-727636115</v>
      </c>
      <c r="Y3">
        <v>2.87</v>
      </c>
      <c r="AA3">
        <v>0</v>
      </c>
      <c r="AB3">
        <v>923.83</v>
      </c>
      <c r="AC3">
        <v>342.06</v>
      </c>
      <c r="AD3">
        <v>0</v>
      </c>
      <c r="AE3">
        <v>0</v>
      </c>
      <c r="AF3">
        <v>923.83</v>
      </c>
      <c r="AG3">
        <v>342.06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2.87</v>
      </c>
      <c r="AU3" t="s">
        <v>3</v>
      </c>
      <c r="AV3">
        <v>0</v>
      </c>
      <c r="AW3">
        <v>2</v>
      </c>
      <c r="AX3">
        <v>47004844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Y3*Source!I26</f>
        <v>1.4338520000000001</v>
      </c>
      <c r="CY3">
        <f t="shared" ref="CY3:CY9" si="2">AB3</f>
        <v>923.83</v>
      </c>
      <c r="CZ3">
        <f t="shared" ref="CZ3:CZ9" si="3">AF3</f>
        <v>923.83</v>
      </c>
      <c r="DA3">
        <f t="shared" ref="DA3:DA9" si="4">AJ3</f>
        <v>1</v>
      </c>
      <c r="DB3">
        <f t="shared" si="0"/>
        <v>2651.39</v>
      </c>
      <c r="DC3">
        <f t="shared" si="1"/>
        <v>981.71</v>
      </c>
    </row>
    <row r="4" spans="1:107" x14ac:dyDescent="0.2">
      <c r="A4">
        <f>ROW(Source!A26)</f>
        <v>26</v>
      </c>
      <c r="B4">
        <v>46983916</v>
      </c>
      <c r="C4">
        <v>47004842</v>
      </c>
      <c r="D4">
        <v>45819494</v>
      </c>
      <c r="E4">
        <v>1</v>
      </c>
      <c r="F4">
        <v>1</v>
      </c>
      <c r="G4">
        <v>25</v>
      </c>
      <c r="H4">
        <v>2</v>
      </c>
      <c r="I4" t="s">
        <v>132</v>
      </c>
      <c r="J4" t="s">
        <v>133</v>
      </c>
      <c r="K4" t="s">
        <v>134</v>
      </c>
      <c r="L4">
        <v>1368</v>
      </c>
      <c r="N4">
        <v>1011</v>
      </c>
      <c r="O4" t="s">
        <v>131</v>
      </c>
      <c r="P4" t="s">
        <v>131</v>
      </c>
      <c r="Q4">
        <v>1</v>
      </c>
      <c r="W4">
        <v>0</v>
      </c>
      <c r="X4">
        <v>930788895</v>
      </c>
      <c r="Y4">
        <v>7.86</v>
      </c>
      <c r="AA4">
        <v>0</v>
      </c>
      <c r="AB4">
        <v>1451.71</v>
      </c>
      <c r="AC4">
        <v>457.95</v>
      </c>
      <c r="AD4">
        <v>0</v>
      </c>
      <c r="AE4">
        <v>0</v>
      </c>
      <c r="AF4">
        <v>1451.71</v>
      </c>
      <c r="AG4">
        <v>457.95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7.86</v>
      </c>
      <c r="AU4" t="s">
        <v>3</v>
      </c>
      <c r="AV4">
        <v>0</v>
      </c>
      <c r="AW4">
        <v>2</v>
      </c>
      <c r="AX4">
        <v>47004845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Y4*Source!I26</f>
        <v>3.9268559999999999</v>
      </c>
      <c r="CY4">
        <f t="shared" si="2"/>
        <v>1451.71</v>
      </c>
      <c r="CZ4">
        <f t="shared" si="3"/>
        <v>1451.71</v>
      </c>
      <c r="DA4">
        <f t="shared" si="4"/>
        <v>1</v>
      </c>
      <c r="DB4">
        <f t="shared" si="0"/>
        <v>11410.44</v>
      </c>
      <c r="DC4">
        <f t="shared" si="1"/>
        <v>3599.49</v>
      </c>
    </row>
    <row r="5" spans="1:107" x14ac:dyDescent="0.2">
      <c r="A5">
        <f>ROW(Source!A27)</f>
        <v>27</v>
      </c>
      <c r="B5">
        <v>46983916</v>
      </c>
      <c r="C5">
        <v>47004857</v>
      </c>
      <c r="D5">
        <v>45819494</v>
      </c>
      <c r="E5">
        <v>1</v>
      </c>
      <c r="F5">
        <v>1</v>
      </c>
      <c r="G5">
        <v>25</v>
      </c>
      <c r="H5">
        <v>2</v>
      </c>
      <c r="I5" t="s">
        <v>132</v>
      </c>
      <c r="J5" t="s">
        <v>133</v>
      </c>
      <c r="K5" t="s">
        <v>134</v>
      </c>
      <c r="L5">
        <v>1368</v>
      </c>
      <c r="N5">
        <v>1011</v>
      </c>
      <c r="O5" t="s">
        <v>131</v>
      </c>
      <c r="P5" t="s">
        <v>131</v>
      </c>
      <c r="Q5">
        <v>1</v>
      </c>
      <c r="W5">
        <v>0</v>
      </c>
      <c r="X5">
        <v>930788895</v>
      </c>
      <c r="Y5">
        <v>5.3699999999999998E-2</v>
      </c>
      <c r="AA5">
        <v>0</v>
      </c>
      <c r="AB5">
        <v>1451.71</v>
      </c>
      <c r="AC5">
        <v>457.95</v>
      </c>
      <c r="AD5">
        <v>0</v>
      </c>
      <c r="AE5">
        <v>0</v>
      </c>
      <c r="AF5">
        <v>1451.71</v>
      </c>
      <c r="AG5">
        <v>457.95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5.3699999999999998E-2</v>
      </c>
      <c r="AU5" t="s">
        <v>3</v>
      </c>
      <c r="AV5">
        <v>0</v>
      </c>
      <c r="AW5">
        <v>2</v>
      </c>
      <c r="AX5">
        <v>47004858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Y5*Source!I27</f>
        <v>6.4388447999999991</v>
      </c>
      <c r="CY5">
        <f t="shared" si="2"/>
        <v>1451.71</v>
      </c>
      <c r="CZ5">
        <f t="shared" si="3"/>
        <v>1451.71</v>
      </c>
      <c r="DA5">
        <f t="shared" si="4"/>
        <v>1</v>
      </c>
      <c r="DB5">
        <f t="shared" si="0"/>
        <v>77.959999999999994</v>
      </c>
      <c r="DC5">
        <f t="shared" si="1"/>
        <v>24.59</v>
      </c>
    </row>
    <row r="6" spans="1:107" x14ac:dyDescent="0.2">
      <c r="A6">
        <f>ROW(Source!A28)</f>
        <v>28</v>
      </c>
      <c r="B6">
        <v>46983916</v>
      </c>
      <c r="C6">
        <v>47004859</v>
      </c>
      <c r="D6">
        <v>45820281</v>
      </c>
      <c r="E6">
        <v>1</v>
      </c>
      <c r="F6">
        <v>1</v>
      </c>
      <c r="G6">
        <v>25</v>
      </c>
      <c r="H6">
        <v>2</v>
      </c>
      <c r="I6" t="s">
        <v>135</v>
      </c>
      <c r="J6" t="s">
        <v>136</v>
      </c>
      <c r="K6" t="s">
        <v>137</v>
      </c>
      <c r="L6">
        <v>1368</v>
      </c>
      <c r="N6">
        <v>1011</v>
      </c>
      <c r="O6" t="s">
        <v>131</v>
      </c>
      <c r="P6" t="s">
        <v>131</v>
      </c>
      <c r="Q6">
        <v>1</v>
      </c>
      <c r="W6">
        <v>0</v>
      </c>
      <c r="X6">
        <v>-170043387</v>
      </c>
      <c r="Y6">
        <v>0.02</v>
      </c>
      <c r="AA6">
        <v>0</v>
      </c>
      <c r="AB6">
        <v>952.49</v>
      </c>
      <c r="AC6">
        <v>301.5</v>
      </c>
      <c r="AD6">
        <v>0</v>
      </c>
      <c r="AE6">
        <v>0</v>
      </c>
      <c r="AF6">
        <v>952.49</v>
      </c>
      <c r="AG6">
        <v>301.5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0.02</v>
      </c>
      <c r="AU6" t="s">
        <v>3</v>
      </c>
      <c r="AV6">
        <v>0</v>
      </c>
      <c r="AW6">
        <v>2</v>
      </c>
      <c r="AX6">
        <v>47004860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Y6*Source!I28</f>
        <v>2.3980799999999998</v>
      </c>
      <c r="CY6">
        <f t="shared" si="2"/>
        <v>952.49</v>
      </c>
      <c r="CZ6">
        <f t="shared" si="3"/>
        <v>952.49</v>
      </c>
      <c r="DA6">
        <f t="shared" si="4"/>
        <v>1</v>
      </c>
      <c r="DB6">
        <f t="shared" si="0"/>
        <v>19.05</v>
      </c>
      <c r="DC6">
        <f t="shared" si="1"/>
        <v>6.03</v>
      </c>
    </row>
    <row r="7" spans="1:107" x14ac:dyDescent="0.2">
      <c r="A7">
        <f>ROW(Source!A28)</f>
        <v>28</v>
      </c>
      <c r="B7">
        <v>46983916</v>
      </c>
      <c r="C7">
        <v>47004859</v>
      </c>
      <c r="D7">
        <v>45820282</v>
      </c>
      <c r="E7">
        <v>1</v>
      </c>
      <c r="F7">
        <v>1</v>
      </c>
      <c r="G7">
        <v>25</v>
      </c>
      <c r="H7">
        <v>2</v>
      </c>
      <c r="I7" t="s">
        <v>138</v>
      </c>
      <c r="J7" t="s">
        <v>139</v>
      </c>
      <c r="K7" t="s">
        <v>140</v>
      </c>
      <c r="L7">
        <v>1368</v>
      </c>
      <c r="N7">
        <v>1011</v>
      </c>
      <c r="O7" t="s">
        <v>131</v>
      </c>
      <c r="P7" t="s">
        <v>131</v>
      </c>
      <c r="Q7">
        <v>1</v>
      </c>
      <c r="W7">
        <v>0</v>
      </c>
      <c r="X7">
        <v>1852708047</v>
      </c>
      <c r="Y7">
        <v>1.7999999999999999E-2</v>
      </c>
      <c r="AA7">
        <v>0</v>
      </c>
      <c r="AB7">
        <v>993.6</v>
      </c>
      <c r="AC7">
        <v>301.8</v>
      </c>
      <c r="AD7">
        <v>0</v>
      </c>
      <c r="AE7">
        <v>0</v>
      </c>
      <c r="AF7">
        <v>993.6</v>
      </c>
      <c r="AG7">
        <v>301.8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1.7999999999999999E-2</v>
      </c>
      <c r="AU7" t="s">
        <v>3</v>
      </c>
      <c r="AV7">
        <v>0</v>
      </c>
      <c r="AW7">
        <v>2</v>
      </c>
      <c r="AX7">
        <v>47004861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2.1582719999999997</v>
      </c>
      <c r="CY7">
        <f t="shared" si="2"/>
        <v>993.6</v>
      </c>
      <c r="CZ7">
        <f t="shared" si="3"/>
        <v>993.6</v>
      </c>
      <c r="DA7">
        <f t="shared" si="4"/>
        <v>1</v>
      </c>
      <c r="DB7">
        <f t="shared" si="0"/>
        <v>17.88</v>
      </c>
      <c r="DC7">
        <f t="shared" si="1"/>
        <v>5.43</v>
      </c>
    </row>
    <row r="8" spans="1:107" x14ac:dyDescent="0.2">
      <c r="A8">
        <f>ROW(Source!A29)</f>
        <v>29</v>
      </c>
      <c r="B8">
        <v>46983916</v>
      </c>
      <c r="C8">
        <v>47004862</v>
      </c>
      <c r="D8">
        <v>45820281</v>
      </c>
      <c r="E8">
        <v>1</v>
      </c>
      <c r="F8">
        <v>1</v>
      </c>
      <c r="G8">
        <v>25</v>
      </c>
      <c r="H8">
        <v>2</v>
      </c>
      <c r="I8" t="s">
        <v>135</v>
      </c>
      <c r="J8" t="s">
        <v>136</v>
      </c>
      <c r="K8" t="s">
        <v>137</v>
      </c>
      <c r="L8">
        <v>1368</v>
      </c>
      <c r="N8">
        <v>1011</v>
      </c>
      <c r="O8" t="s">
        <v>131</v>
      </c>
      <c r="P8" t="s">
        <v>131</v>
      </c>
      <c r="Q8">
        <v>1</v>
      </c>
      <c r="W8">
        <v>0</v>
      </c>
      <c r="X8">
        <v>-170043387</v>
      </c>
      <c r="Y8">
        <v>0.26</v>
      </c>
      <c r="AA8">
        <v>0</v>
      </c>
      <c r="AB8">
        <v>952.49</v>
      </c>
      <c r="AC8">
        <v>301.5</v>
      </c>
      <c r="AD8">
        <v>0</v>
      </c>
      <c r="AE8">
        <v>0</v>
      </c>
      <c r="AF8">
        <v>952.49</v>
      </c>
      <c r="AG8">
        <v>301.5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3</v>
      </c>
      <c r="AT8">
        <v>0.01</v>
      </c>
      <c r="AU8" t="s">
        <v>42</v>
      </c>
      <c r="AV8">
        <v>0</v>
      </c>
      <c r="AW8">
        <v>2</v>
      </c>
      <c r="AX8">
        <v>47004863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Y8*Source!I29</f>
        <v>31.175039999999999</v>
      </c>
      <c r="CY8">
        <f t="shared" si="2"/>
        <v>952.49</v>
      </c>
      <c r="CZ8">
        <f t="shared" si="3"/>
        <v>952.49</v>
      </c>
      <c r="DA8">
        <f t="shared" si="4"/>
        <v>1</v>
      </c>
      <c r="DB8">
        <f>ROUND((ROUND(AT8*CZ8,2)*26),6)</f>
        <v>247.52</v>
      </c>
      <c r="DC8">
        <f>ROUND((ROUND(AT8*AG8,2)*26),6)</f>
        <v>78.52</v>
      </c>
    </row>
    <row r="9" spans="1:107" x14ac:dyDescent="0.2">
      <c r="A9">
        <f>ROW(Source!A29)</f>
        <v>29</v>
      </c>
      <c r="B9">
        <v>46983916</v>
      </c>
      <c r="C9">
        <v>47004862</v>
      </c>
      <c r="D9">
        <v>45820282</v>
      </c>
      <c r="E9">
        <v>1</v>
      </c>
      <c r="F9">
        <v>1</v>
      </c>
      <c r="G9">
        <v>25</v>
      </c>
      <c r="H9">
        <v>2</v>
      </c>
      <c r="I9" t="s">
        <v>138</v>
      </c>
      <c r="J9" t="s">
        <v>139</v>
      </c>
      <c r="K9" t="s">
        <v>140</v>
      </c>
      <c r="L9">
        <v>1368</v>
      </c>
      <c r="N9">
        <v>1011</v>
      </c>
      <c r="O9" t="s">
        <v>131</v>
      </c>
      <c r="P9" t="s">
        <v>131</v>
      </c>
      <c r="Q9">
        <v>1</v>
      </c>
      <c r="W9">
        <v>0</v>
      </c>
      <c r="X9">
        <v>1852708047</v>
      </c>
      <c r="Y9">
        <v>0.20800000000000002</v>
      </c>
      <c r="AA9">
        <v>0</v>
      </c>
      <c r="AB9">
        <v>993.6</v>
      </c>
      <c r="AC9">
        <v>301.8</v>
      </c>
      <c r="AD9">
        <v>0</v>
      </c>
      <c r="AE9">
        <v>0</v>
      </c>
      <c r="AF9">
        <v>993.6</v>
      </c>
      <c r="AG9">
        <v>301.8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3</v>
      </c>
      <c r="AT9">
        <v>8.0000000000000002E-3</v>
      </c>
      <c r="AU9" t="s">
        <v>42</v>
      </c>
      <c r="AV9">
        <v>0</v>
      </c>
      <c r="AW9">
        <v>2</v>
      </c>
      <c r="AX9">
        <v>47004864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Y9*Source!I29</f>
        <v>24.940032000000002</v>
      </c>
      <c r="CY9">
        <f t="shared" si="2"/>
        <v>993.6</v>
      </c>
      <c r="CZ9">
        <f t="shared" si="3"/>
        <v>993.6</v>
      </c>
      <c r="DA9">
        <f t="shared" si="4"/>
        <v>1</v>
      </c>
      <c r="DB9">
        <f>ROUND((ROUND(AT9*CZ9,2)*26),6)</f>
        <v>206.7</v>
      </c>
      <c r="DC9">
        <f>ROUND((ROUND(AT9*AG9,2)*26),6)</f>
        <v>62.66</v>
      </c>
    </row>
    <row r="10" spans="1:107" x14ac:dyDescent="0.2">
      <c r="A10">
        <f>ROW(Source!A31)</f>
        <v>31</v>
      </c>
      <c r="B10">
        <v>46983916</v>
      </c>
      <c r="C10">
        <v>47004888</v>
      </c>
      <c r="D10">
        <v>45803296</v>
      </c>
      <c r="E10">
        <v>25</v>
      </c>
      <c r="F10">
        <v>1</v>
      </c>
      <c r="G10">
        <v>25</v>
      </c>
      <c r="H10">
        <v>1</v>
      </c>
      <c r="I10" t="s">
        <v>125</v>
      </c>
      <c r="J10" t="s">
        <v>3</v>
      </c>
      <c r="K10" t="s">
        <v>126</v>
      </c>
      <c r="L10">
        <v>1191</v>
      </c>
      <c r="N10">
        <v>1013</v>
      </c>
      <c r="O10" t="s">
        <v>127</v>
      </c>
      <c r="P10" t="s">
        <v>127</v>
      </c>
      <c r="Q10">
        <v>1</v>
      </c>
      <c r="W10">
        <v>0</v>
      </c>
      <c r="X10">
        <v>476480486</v>
      </c>
      <c r="Y10">
        <v>25.98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25.98</v>
      </c>
      <c r="AU10" t="s">
        <v>3</v>
      </c>
      <c r="AV10">
        <v>1</v>
      </c>
      <c r="AW10">
        <v>2</v>
      </c>
      <c r="AX10">
        <v>47004889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Y10*Source!I31</f>
        <v>20.784000000000002</v>
      </c>
      <c r="CY10">
        <f>AD10</f>
        <v>0</v>
      </c>
      <c r="CZ10">
        <f>AH10</f>
        <v>0</v>
      </c>
      <c r="DA10">
        <f>AL10</f>
        <v>1</v>
      </c>
      <c r="DB10">
        <f t="shared" ref="DB10:DB28" si="5">ROUND(ROUND(AT10*CZ10,2),6)</f>
        <v>0</v>
      </c>
      <c r="DC10">
        <f t="shared" ref="DC10:DC28" si="6">ROUND(ROUND(AT10*AG10,2),6)</f>
        <v>0</v>
      </c>
    </row>
    <row r="11" spans="1:107" x14ac:dyDescent="0.2">
      <c r="A11">
        <f>ROW(Source!A31)</f>
        <v>31</v>
      </c>
      <c r="B11">
        <v>46983916</v>
      </c>
      <c r="C11">
        <v>47004888</v>
      </c>
      <c r="D11">
        <v>45819610</v>
      </c>
      <c r="E11">
        <v>1</v>
      </c>
      <c r="F11">
        <v>1</v>
      </c>
      <c r="G11">
        <v>25</v>
      </c>
      <c r="H11">
        <v>2</v>
      </c>
      <c r="I11" t="s">
        <v>141</v>
      </c>
      <c r="J11" t="s">
        <v>142</v>
      </c>
      <c r="K11" t="s">
        <v>143</v>
      </c>
      <c r="L11">
        <v>1368</v>
      </c>
      <c r="N11">
        <v>1011</v>
      </c>
      <c r="O11" t="s">
        <v>131</v>
      </c>
      <c r="P11" t="s">
        <v>131</v>
      </c>
      <c r="Q11">
        <v>1</v>
      </c>
      <c r="W11">
        <v>0</v>
      </c>
      <c r="X11">
        <v>91562076</v>
      </c>
      <c r="Y11">
        <v>0.86</v>
      </c>
      <c r="AA11">
        <v>0</v>
      </c>
      <c r="AB11">
        <v>662.01</v>
      </c>
      <c r="AC11">
        <v>353.32</v>
      </c>
      <c r="AD11">
        <v>0</v>
      </c>
      <c r="AE11">
        <v>0</v>
      </c>
      <c r="AF11">
        <v>662.01</v>
      </c>
      <c r="AG11">
        <v>353.32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0.86</v>
      </c>
      <c r="AU11" t="s">
        <v>3</v>
      </c>
      <c r="AV11">
        <v>0</v>
      </c>
      <c r="AW11">
        <v>2</v>
      </c>
      <c r="AX11">
        <v>47004890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Y11*Source!I31</f>
        <v>0.68800000000000006</v>
      </c>
      <c r="CY11">
        <f>AB11</f>
        <v>662.01</v>
      </c>
      <c r="CZ11">
        <f>AF11</f>
        <v>662.01</v>
      </c>
      <c r="DA11">
        <f>AJ11</f>
        <v>1</v>
      </c>
      <c r="DB11">
        <f t="shared" si="5"/>
        <v>569.33000000000004</v>
      </c>
      <c r="DC11">
        <f t="shared" si="6"/>
        <v>303.86</v>
      </c>
    </row>
    <row r="12" spans="1:107" x14ac:dyDescent="0.2">
      <c r="A12">
        <f>ROW(Source!A31)</f>
        <v>31</v>
      </c>
      <c r="B12">
        <v>46983916</v>
      </c>
      <c r="C12">
        <v>47004888</v>
      </c>
      <c r="D12">
        <v>45823308</v>
      </c>
      <c r="E12">
        <v>1</v>
      </c>
      <c r="F12">
        <v>1</v>
      </c>
      <c r="G12">
        <v>25</v>
      </c>
      <c r="H12">
        <v>3</v>
      </c>
      <c r="I12" t="s">
        <v>144</v>
      </c>
      <c r="J12" t="s">
        <v>145</v>
      </c>
      <c r="K12" t="s">
        <v>146</v>
      </c>
      <c r="L12">
        <v>1339</v>
      </c>
      <c r="N12">
        <v>1007</v>
      </c>
      <c r="O12" t="s">
        <v>147</v>
      </c>
      <c r="P12" t="s">
        <v>147</v>
      </c>
      <c r="Q12">
        <v>1</v>
      </c>
      <c r="W12">
        <v>0</v>
      </c>
      <c r="X12">
        <v>1755968526</v>
      </c>
      <c r="Y12">
        <v>4.3</v>
      </c>
      <c r="AA12">
        <v>3529.68</v>
      </c>
      <c r="AB12">
        <v>0</v>
      </c>
      <c r="AC12">
        <v>0</v>
      </c>
      <c r="AD12">
        <v>0</v>
      </c>
      <c r="AE12">
        <v>3529.68</v>
      </c>
      <c r="AF12">
        <v>0</v>
      </c>
      <c r="AG12">
        <v>0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4.3</v>
      </c>
      <c r="AU12" t="s">
        <v>3</v>
      </c>
      <c r="AV12">
        <v>0</v>
      </c>
      <c r="AW12">
        <v>2</v>
      </c>
      <c r="AX12">
        <v>47004891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Y12*Source!I31</f>
        <v>3.44</v>
      </c>
      <c r="CY12">
        <f>AA12</f>
        <v>3529.68</v>
      </c>
      <c r="CZ12">
        <f>AE12</f>
        <v>3529.68</v>
      </c>
      <c r="DA12">
        <f>AI12</f>
        <v>1</v>
      </c>
      <c r="DB12">
        <f t="shared" si="5"/>
        <v>15177.62</v>
      </c>
      <c r="DC12">
        <f t="shared" si="6"/>
        <v>0</v>
      </c>
    </row>
    <row r="13" spans="1:107" x14ac:dyDescent="0.2">
      <c r="A13">
        <f>ROW(Source!A31)</f>
        <v>31</v>
      </c>
      <c r="B13">
        <v>46983916</v>
      </c>
      <c r="C13">
        <v>47004888</v>
      </c>
      <c r="D13">
        <v>45824258</v>
      </c>
      <c r="E13">
        <v>1</v>
      </c>
      <c r="F13">
        <v>1</v>
      </c>
      <c r="G13">
        <v>25</v>
      </c>
      <c r="H13">
        <v>3</v>
      </c>
      <c r="I13" t="s">
        <v>148</v>
      </c>
      <c r="J13" t="s">
        <v>149</v>
      </c>
      <c r="K13" t="s">
        <v>150</v>
      </c>
      <c r="L13">
        <v>1035</v>
      </c>
      <c r="N13">
        <v>1013</v>
      </c>
      <c r="O13" t="s">
        <v>151</v>
      </c>
      <c r="P13" t="s">
        <v>151</v>
      </c>
      <c r="Q13">
        <v>1</v>
      </c>
      <c r="W13">
        <v>0</v>
      </c>
      <c r="X13">
        <v>318137626</v>
      </c>
      <c r="Y13">
        <v>100</v>
      </c>
      <c r="AA13">
        <v>5240.13</v>
      </c>
      <c r="AB13">
        <v>0</v>
      </c>
      <c r="AC13">
        <v>0</v>
      </c>
      <c r="AD13">
        <v>0</v>
      </c>
      <c r="AE13">
        <v>5240.13</v>
      </c>
      <c r="AF13">
        <v>0</v>
      </c>
      <c r="AG13">
        <v>0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100</v>
      </c>
      <c r="AU13" t="s">
        <v>3</v>
      </c>
      <c r="AV13">
        <v>0</v>
      </c>
      <c r="AW13">
        <v>2</v>
      </c>
      <c r="AX13">
        <v>47004892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Y13*Source!I31</f>
        <v>80</v>
      </c>
      <c r="CY13">
        <f>AA13</f>
        <v>5240.13</v>
      </c>
      <c r="CZ13">
        <f>AE13</f>
        <v>5240.13</v>
      </c>
      <c r="DA13">
        <f>AI13</f>
        <v>1</v>
      </c>
      <c r="DB13">
        <f t="shared" si="5"/>
        <v>524013</v>
      </c>
      <c r="DC13">
        <f t="shared" si="6"/>
        <v>0</v>
      </c>
    </row>
    <row r="14" spans="1:107" x14ac:dyDescent="0.2">
      <c r="A14">
        <f>ROW(Source!A32)</f>
        <v>32</v>
      </c>
      <c r="B14">
        <v>46983916</v>
      </c>
      <c r="C14">
        <v>47004906</v>
      </c>
      <c r="D14">
        <v>45803296</v>
      </c>
      <c r="E14">
        <v>25</v>
      </c>
      <c r="F14">
        <v>1</v>
      </c>
      <c r="G14">
        <v>25</v>
      </c>
      <c r="H14">
        <v>1</v>
      </c>
      <c r="I14" t="s">
        <v>125</v>
      </c>
      <c r="J14" t="s">
        <v>3</v>
      </c>
      <c r="K14" t="s">
        <v>126</v>
      </c>
      <c r="L14">
        <v>1191</v>
      </c>
      <c r="N14">
        <v>1013</v>
      </c>
      <c r="O14" t="s">
        <v>127</v>
      </c>
      <c r="P14" t="s">
        <v>127</v>
      </c>
      <c r="Q14">
        <v>1</v>
      </c>
      <c r="W14">
        <v>0</v>
      </c>
      <c r="X14">
        <v>476480486</v>
      </c>
      <c r="Y14">
        <v>44.85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44.85</v>
      </c>
      <c r="AU14" t="s">
        <v>3</v>
      </c>
      <c r="AV14">
        <v>1</v>
      </c>
      <c r="AW14">
        <v>2</v>
      </c>
      <c r="AX14">
        <v>47004912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Y14*Source!I32</f>
        <v>313.95</v>
      </c>
      <c r="CY14">
        <f>AD14</f>
        <v>0</v>
      </c>
      <c r="CZ14">
        <f>AH14</f>
        <v>0</v>
      </c>
      <c r="DA14">
        <f>AL14</f>
        <v>1</v>
      </c>
      <c r="DB14">
        <f t="shared" si="5"/>
        <v>0</v>
      </c>
      <c r="DC14">
        <f t="shared" si="6"/>
        <v>0</v>
      </c>
    </row>
    <row r="15" spans="1:107" x14ac:dyDescent="0.2">
      <c r="A15">
        <f>ROW(Source!A32)</f>
        <v>32</v>
      </c>
      <c r="B15">
        <v>46983916</v>
      </c>
      <c r="C15">
        <v>47004906</v>
      </c>
      <c r="D15">
        <v>45820478</v>
      </c>
      <c r="E15">
        <v>1</v>
      </c>
      <c r="F15">
        <v>1</v>
      </c>
      <c r="G15">
        <v>25</v>
      </c>
      <c r="H15">
        <v>3</v>
      </c>
      <c r="I15" t="s">
        <v>152</v>
      </c>
      <c r="J15" t="s">
        <v>153</v>
      </c>
      <c r="K15" t="s">
        <v>154</v>
      </c>
      <c r="L15">
        <v>1348</v>
      </c>
      <c r="N15">
        <v>1009</v>
      </c>
      <c r="O15" t="s">
        <v>30</v>
      </c>
      <c r="P15" t="s">
        <v>30</v>
      </c>
      <c r="Q15">
        <v>1000</v>
      </c>
      <c r="W15">
        <v>0</v>
      </c>
      <c r="X15">
        <v>-1010970644</v>
      </c>
      <c r="Y15">
        <v>1.6E-2</v>
      </c>
      <c r="AA15">
        <v>19810.5</v>
      </c>
      <c r="AB15">
        <v>0</v>
      </c>
      <c r="AC15">
        <v>0</v>
      </c>
      <c r="AD15">
        <v>0</v>
      </c>
      <c r="AE15">
        <v>19810.5</v>
      </c>
      <c r="AF15">
        <v>0</v>
      </c>
      <c r="AG15">
        <v>0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1.6E-2</v>
      </c>
      <c r="AU15" t="s">
        <v>3</v>
      </c>
      <c r="AV15">
        <v>0</v>
      </c>
      <c r="AW15">
        <v>2</v>
      </c>
      <c r="AX15">
        <v>47004913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Y15*Source!I32</f>
        <v>0.112</v>
      </c>
      <c r="CY15">
        <f>AA15</f>
        <v>19810.5</v>
      </c>
      <c r="CZ15">
        <f>AE15</f>
        <v>19810.5</v>
      </c>
      <c r="DA15">
        <f>AI15</f>
        <v>1</v>
      </c>
      <c r="DB15">
        <f t="shared" si="5"/>
        <v>316.97000000000003</v>
      </c>
      <c r="DC15">
        <f t="shared" si="6"/>
        <v>0</v>
      </c>
    </row>
    <row r="16" spans="1:107" x14ac:dyDescent="0.2">
      <c r="A16">
        <f>ROW(Source!A32)</f>
        <v>32</v>
      </c>
      <c r="B16">
        <v>46983916</v>
      </c>
      <c r="C16">
        <v>47004906</v>
      </c>
      <c r="D16">
        <v>45820546</v>
      </c>
      <c r="E16">
        <v>1</v>
      </c>
      <c r="F16">
        <v>1</v>
      </c>
      <c r="G16">
        <v>25</v>
      </c>
      <c r="H16">
        <v>3</v>
      </c>
      <c r="I16" t="s">
        <v>155</v>
      </c>
      <c r="J16" t="s">
        <v>156</v>
      </c>
      <c r="K16" t="s">
        <v>157</v>
      </c>
      <c r="L16">
        <v>1348</v>
      </c>
      <c r="N16">
        <v>1009</v>
      </c>
      <c r="O16" t="s">
        <v>30</v>
      </c>
      <c r="P16" t="s">
        <v>30</v>
      </c>
      <c r="Q16">
        <v>1000</v>
      </c>
      <c r="W16">
        <v>0</v>
      </c>
      <c r="X16">
        <v>-2050275555</v>
      </c>
      <c r="Y16">
        <v>0.24</v>
      </c>
      <c r="AA16">
        <v>123041.56</v>
      </c>
      <c r="AB16">
        <v>0</v>
      </c>
      <c r="AC16">
        <v>0</v>
      </c>
      <c r="AD16">
        <v>0</v>
      </c>
      <c r="AE16">
        <v>123041.56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0.24</v>
      </c>
      <c r="AU16" t="s">
        <v>3</v>
      </c>
      <c r="AV16">
        <v>0</v>
      </c>
      <c r="AW16">
        <v>2</v>
      </c>
      <c r="AX16">
        <v>47004914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Y16*Source!I32</f>
        <v>1.68</v>
      </c>
      <c r="CY16">
        <f>AA16</f>
        <v>123041.56</v>
      </c>
      <c r="CZ16">
        <f>AE16</f>
        <v>123041.56</v>
      </c>
      <c r="DA16">
        <f>AI16</f>
        <v>1</v>
      </c>
      <c r="DB16">
        <f t="shared" si="5"/>
        <v>29529.97</v>
      </c>
      <c r="DC16">
        <f t="shared" si="6"/>
        <v>0</v>
      </c>
    </row>
    <row r="17" spans="1:107" x14ac:dyDescent="0.2">
      <c r="A17">
        <f>ROW(Source!A32)</f>
        <v>32</v>
      </c>
      <c r="B17">
        <v>46983916</v>
      </c>
      <c r="C17">
        <v>47004906</v>
      </c>
      <c r="D17">
        <v>45822187</v>
      </c>
      <c r="E17">
        <v>1</v>
      </c>
      <c r="F17">
        <v>1</v>
      </c>
      <c r="G17">
        <v>25</v>
      </c>
      <c r="H17">
        <v>3</v>
      </c>
      <c r="I17" t="s">
        <v>158</v>
      </c>
      <c r="J17" t="s">
        <v>159</v>
      </c>
      <c r="K17" t="s">
        <v>160</v>
      </c>
      <c r="L17">
        <v>1346</v>
      </c>
      <c r="N17">
        <v>1009</v>
      </c>
      <c r="O17" t="s">
        <v>161</v>
      </c>
      <c r="P17" t="s">
        <v>161</v>
      </c>
      <c r="Q17">
        <v>1</v>
      </c>
      <c r="W17">
        <v>0</v>
      </c>
      <c r="X17">
        <v>1127499365</v>
      </c>
      <c r="Y17">
        <v>0.1</v>
      </c>
      <c r="AA17">
        <v>29.63</v>
      </c>
      <c r="AB17">
        <v>0</v>
      </c>
      <c r="AC17">
        <v>0</v>
      </c>
      <c r="AD17">
        <v>0</v>
      </c>
      <c r="AE17">
        <v>29.63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0.1</v>
      </c>
      <c r="AU17" t="s">
        <v>3</v>
      </c>
      <c r="AV17">
        <v>0</v>
      </c>
      <c r="AW17">
        <v>2</v>
      </c>
      <c r="AX17">
        <v>47004915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Y17*Source!I32</f>
        <v>0.70000000000000007</v>
      </c>
      <c r="CY17">
        <f>AA17</f>
        <v>29.63</v>
      </c>
      <c r="CZ17">
        <f>AE17</f>
        <v>29.63</v>
      </c>
      <c r="DA17">
        <f>AI17</f>
        <v>1</v>
      </c>
      <c r="DB17">
        <f t="shared" si="5"/>
        <v>2.96</v>
      </c>
      <c r="DC17">
        <f t="shared" si="6"/>
        <v>0</v>
      </c>
    </row>
    <row r="18" spans="1:107" x14ac:dyDescent="0.2">
      <c r="A18">
        <f>ROW(Source!A32)</f>
        <v>32</v>
      </c>
      <c r="B18">
        <v>46983916</v>
      </c>
      <c r="C18">
        <v>47004906</v>
      </c>
      <c r="D18">
        <v>45820672</v>
      </c>
      <c r="E18">
        <v>1</v>
      </c>
      <c r="F18">
        <v>1</v>
      </c>
      <c r="G18">
        <v>25</v>
      </c>
      <c r="H18">
        <v>3</v>
      </c>
      <c r="I18" t="s">
        <v>162</v>
      </c>
      <c r="J18" t="s">
        <v>163</v>
      </c>
      <c r="K18" t="s">
        <v>164</v>
      </c>
      <c r="L18">
        <v>1348</v>
      </c>
      <c r="N18">
        <v>1009</v>
      </c>
      <c r="O18" t="s">
        <v>30</v>
      </c>
      <c r="P18" t="s">
        <v>30</v>
      </c>
      <c r="Q18">
        <v>1000</v>
      </c>
      <c r="W18">
        <v>0</v>
      </c>
      <c r="X18">
        <v>-102915952</v>
      </c>
      <c r="Y18">
        <v>2.4E-2</v>
      </c>
      <c r="AA18">
        <v>77577.179999999993</v>
      </c>
      <c r="AB18">
        <v>0</v>
      </c>
      <c r="AC18">
        <v>0</v>
      </c>
      <c r="AD18">
        <v>0</v>
      </c>
      <c r="AE18">
        <v>77577.179999999993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2.4E-2</v>
      </c>
      <c r="AU18" t="s">
        <v>3</v>
      </c>
      <c r="AV18">
        <v>0</v>
      </c>
      <c r="AW18">
        <v>2</v>
      </c>
      <c r="AX18">
        <v>47004916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Y18*Source!I32</f>
        <v>0.16800000000000001</v>
      </c>
      <c r="CY18">
        <f>AA18</f>
        <v>77577.179999999993</v>
      </c>
      <c r="CZ18">
        <f>AE18</f>
        <v>77577.179999999993</v>
      </c>
      <c r="DA18">
        <f>AI18</f>
        <v>1</v>
      </c>
      <c r="DB18">
        <f t="shared" si="5"/>
        <v>1861.85</v>
      </c>
      <c r="DC18">
        <f t="shared" si="6"/>
        <v>0</v>
      </c>
    </row>
    <row r="19" spans="1:107" x14ac:dyDescent="0.2">
      <c r="A19">
        <f>ROW(Source!A33)</f>
        <v>33</v>
      </c>
      <c r="B19">
        <v>46983916</v>
      </c>
      <c r="C19">
        <v>47004917</v>
      </c>
      <c r="D19">
        <v>45803296</v>
      </c>
      <c r="E19">
        <v>25</v>
      </c>
      <c r="F19">
        <v>1</v>
      </c>
      <c r="G19">
        <v>25</v>
      </c>
      <c r="H19">
        <v>1</v>
      </c>
      <c r="I19" t="s">
        <v>125</v>
      </c>
      <c r="J19" t="s">
        <v>3</v>
      </c>
      <c r="K19" t="s">
        <v>126</v>
      </c>
      <c r="L19">
        <v>1191</v>
      </c>
      <c r="N19">
        <v>1013</v>
      </c>
      <c r="O19" t="s">
        <v>127</v>
      </c>
      <c r="P19" t="s">
        <v>127</v>
      </c>
      <c r="Q19">
        <v>1</v>
      </c>
      <c r="W19">
        <v>0</v>
      </c>
      <c r="X19">
        <v>476480486</v>
      </c>
      <c r="Y19">
        <v>65.55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65.55</v>
      </c>
      <c r="AU19" t="s">
        <v>3</v>
      </c>
      <c r="AV19">
        <v>1</v>
      </c>
      <c r="AW19">
        <v>2</v>
      </c>
      <c r="AX19">
        <v>47004918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Y19*Source!I33</f>
        <v>131.1</v>
      </c>
      <c r="CY19">
        <f>AD19</f>
        <v>0</v>
      </c>
      <c r="CZ19">
        <f>AH19</f>
        <v>0</v>
      </c>
      <c r="DA19">
        <f>AL19</f>
        <v>1</v>
      </c>
      <c r="DB19">
        <f t="shared" si="5"/>
        <v>0</v>
      </c>
      <c r="DC19">
        <f t="shared" si="6"/>
        <v>0</v>
      </c>
    </row>
    <row r="20" spans="1:107" x14ac:dyDescent="0.2">
      <c r="A20">
        <f>ROW(Source!A33)</f>
        <v>33</v>
      </c>
      <c r="B20">
        <v>46983916</v>
      </c>
      <c r="C20">
        <v>47004917</v>
      </c>
      <c r="D20">
        <v>45820478</v>
      </c>
      <c r="E20">
        <v>1</v>
      </c>
      <c r="F20">
        <v>1</v>
      </c>
      <c r="G20">
        <v>25</v>
      </c>
      <c r="H20">
        <v>3</v>
      </c>
      <c r="I20" t="s">
        <v>152</v>
      </c>
      <c r="J20" t="s">
        <v>153</v>
      </c>
      <c r="K20" t="s">
        <v>154</v>
      </c>
      <c r="L20">
        <v>1348</v>
      </c>
      <c r="N20">
        <v>1009</v>
      </c>
      <c r="O20" t="s">
        <v>30</v>
      </c>
      <c r="P20" t="s">
        <v>30</v>
      </c>
      <c r="Q20">
        <v>1000</v>
      </c>
      <c r="W20">
        <v>0</v>
      </c>
      <c r="X20">
        <v>-1010970644</v>
      </c>
      <c r="Y20">
        <v>1.6E-2</v>
      </c>
      <c r="AA20">
        <v>19810.5</v>
      </c>
      <c r="AB20">
        <v>0</v>
      </c>
      <c r="AC20">
        <v>0</v>
      </c>
      <c r="AD20">
        <v>0</v>
      </c>
      <c r="AE20">
        <v>19810.5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1.6E-2</v>
      </c>
      <c r="AU20" t="s">
        <v>3</v>
      </c>
      <c r="AV20">
        <v>0</v>
      </c>
      <c r="AW20">
        <v>2</v>
      </c>
      <c r="AX20">
        <v>47004919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Y20*Source!I33</f>
        <v>3.2000000000000001E-2</v>
      </c>
      <c r="CY20">
        <f>AA20</f>
        <v>19810.5</v>
      </c>
      <c r="CZ20">
        <f>AE20</f>
        <v>19810.5</v>
      </c>
      <c r="DA20">
        <f>AI20</f>
        <v>1</v>
      </c>
      <c r="DB20">
        <f t="shared" si="5"/>
        <v>316.97000000000003</v>
      </c>
      <c r="DC20">
        <f t="shared" si="6"/>
        <v>0</v>
      </c>
    </row>
    <row r="21" spans="1:107" x14ac:dyDescent="0.2">
      <c r="A21">
        <f>ROW(Source!A33)</f>
        <v>33</v>
      </c>
      <c r="B21">
        <v>46983916</v>
      </c>
      <c r="C21">
        <v>47004917</v>
      </c>
      <c r="D21">
        <v>45820546</v>
      </c>
      <c r="E21">
        <v>1</v>
      </c>
      <c r="F21">
        <v>1</v>
      </c>
      <c r="G21">
        <v>25</v>
      </c>
      <c r="H21">
        <v>3</v>
      </c>
      <c r="I21" t="s">
        <v>155</v>
      </c>
      <c r="J21" t="s">
        <v>156</v>
      </c>
      <c r="K21" t="s">
        <v>157</v>
      </c>
      <c r="L21">
        <v>1348</v>
      </c>
      <c r="N21">
        <v>1009</v>
      </c>
      <c r="O21" t="s">
        <v>30</v>
      </c>
      <c r="P21" t="s">
        <v>30</v>
      </c>
      <c r="Q21">
        <v>1000</v>
      </c>
      <c r="W21">
        <v>0</v>
      </c>
      <c r="X21">
        <v>-2050275555</v>
      </c>
      <c r="Y21">
        <v>0.44</v>
      </c>
      <c r="AA21">
        <v>123041.56</v>
      </c>
      <c r="AB21">
        <v>0</v>
      </c>
      <c r="AC21">
        <v>0</v>
      </c>
      <c r="AD21">
        <v>0</v>
      </c>
      <c r="AE21">
        <v>123041.56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0.44</v>
      </c>
      <c r="AU21" t="s">
        <v>3</v>
      </c>
      <c r="AV21">
        <v>0</v>
      </c>
      <c r="AW21">
        <v>2</v>
      </c>
      <c r="AX21">
        <v>47004920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Y21*Source!I33</f>
        <v>0.88</v>
      </c>
      <c r="CY21">
        <f>AA21</f>
        <v>123041.56</v>
      </c>
      <c r="CZ21">
        <f>AE21</f>
        <v>123041.56</v>
      </c>
      <c r="DA21">
        <f>AI21</f>
        <v>1</v>
      </c>
      <c r="DB21">
        <f t="shared" si="5"/>
        <v>54138.29</v>
      </c>
      <c r="DC21">
        <f t="shared" si="6"/>
        <v>0</v>
      </c>
    </row>
    <row r="22" spans="1:107" x14ac:dyDescent="0.2">
      <c r="A22">
        <f>ROW(Source!A33)</f>
        <v>33</v>
      </c>
      <c r="B22">
        <v>46983916</v>
      </c>
      <c r="C22">
        <v>47004917</v>
      </c>
      <c r="D22">
        <v>45820630</v>
      </c>
      <c r="E22">
        <v>1</v>
      </c>
      <c r="F22">
        <v>1</v>
      </c>
      <c r="G22">
        <v>25</v>
      </c>
      <c r="H22">
        <v>3</v>
      </c>
      <c r="I22" t="s">
        <v>165</v>
      </c>
      <c r="J22" t="s">
        <v>166</v>
      </c>
      <c r="K22" t="s">
        <v>167</v>
      </c>
      <c r="L22">
        <v>1327</v>
      </c>
      <c r="N22">
        <v>1005</v>
      </c>
      <c r="O22" t="s">
        <v>168</v>
      </c>
      <c r="P22" t="s">
        <v>168</v>
      </c>
      <c r="Q22">
        <v>1</v>
      </c>
      <c r="W22">
        <v>0</v>
      </c>
      <c r="X22">
        <v>-930236831</v>
      </c>
      <c r="Y22">
        <v>230</v>
      </c>
      <c r="AA22">
        <v>71.72</v>
      </c>
      <c r="AB22">
        <v>0</v>
      </c>
      <c r="AC22">
        <v>0</v>
      </c>
      <c r="AD22">
        <v>0</v>
      </c>
      <c r="AE22">
        <v>71.72</v>
      </c>
      <c r="AF22">
        <v>0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230</v>
      </c>
      <c r="AU22" t="s">
        <v>3</v>
      </c>
      <c r="AV22">
        <v>0</v>
      </c>
      <c r="AW22">
        <v>2</v>
      </c>
      <c r="AX22">
        <v>47004921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Y22*Source!I33</f>
        <v>460</v>
      </c>
      <c r="CY22">
        <f>AA22</f>
        <v>71.72</v>
      </c>
      <c r="CZ22">
        <f>AE22</f>
        <v>71.72</v>
      </c>
      <c r="DA22">
        <f>AI22</f>
        <v>1</v>
      </c>
      <c r="DB22">
        <f t="shared" si="5"/>
        <v>16495.599999999999</v>
      </c>
      <c r="DC22">
        <f t="shared" si="6"/>
        <v>0</v>
      </c>
    </row>
    <row r="23" spans="1:107" x14ac:dyDescent="0.2">
      <c r="A23">
        <f>ROW(Source!A33)</f>
        <v>33</v>
      </c>
      <c r="B23">
        <v>46983916</v>
      </c>
      <c r="C23">
        <v>47004917</v>
      </c>
      <c r="D23">
        <v>45820672</v>
      </c>
      <c r="E23">
        <v>1</v>
      </c>
      <c r="F23">
        <v>1</v>
      </c>
      <c r="G23">
        <v>25</v>
      </c>
      <c r="H23">
        <v>3</v>
      </c>
      <c r="I23" t="s">
        <v>162</v>
      </c>
      <c r="J23" t="s">
        <v>163</v>
      </c>
      <c r="K23" t="s">
        <v>164</v>
      </c>
      <c r="L23">
        <v>1348</v>
      </c>
      <c r="N23">
        <v>1009</v>
      </c>
      <c r="O23" t="s">
        <v>30</v>
      </c>
      <c r="P23" t="s">
        <v>30</v>
      </c>
      <c r="Q23">
        <v>1000</v>
      </c>
      <c r="W23">
        <v>0</v>
      </c>
      <c r="X23">
        <v>-102915952</v>
      </c>
      <c r="Y23">
        <v>2.4E-2</v>
      </c>
      <c r="AA23">
        <v>77577.179999999993</v>
      </c>
      <c r="AB23">
        <v>0</v>
      </c>
      <c r="AC23">
        <v>0</v>
      </c>
      <c r="AD23">
        <v>0</v>
      </c>
      <c r="AE23">
        <v>77577.179999999993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2.4E-2</v>
      </c>
      <c r="AU23" t="s">
        <v>3</v>
      </c>
      <c r="AV23">
        <v>0</v>
      </c>
      <c r="AW23">
        <v>2</v>
      </c>
      <c r="AX23">
        <v>47004922</v>
      </c>
      <c r="AY23">
        <v>1</v>
      </c>
      <c r="AZ23">
        <v>0</v>
      </c>
      <c r="BA23">
        <v>23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Y23*Source!I33</f>
        <v>4.8000000000000001E-2</v>
      </c>
      <c r="CY23">
        <f>AA23</f>
        <v>77577.179999999993</v>
      </c>
      <c r="CZ23">
        <f>AE23</f>
        <v>77577.179999999993</v>
      </c>
      <c r="DA23">
        <f>AI23</f>
        <v>1</v>
      </c>
      <c r="DB23">
        <f t="shared" si="5"/>
        <v>1861.85</v>
      </c>
      <c r="DC23">
        <f t="shared" si="6"/>
        <v>0</v>
      </c>
    </row>
    <row r="24" spans="1:107" x14ac:dyDescent="0.2">
      <c r="A24">
        <f>ROW(Source!A34)</f>
        <v>34</v>
      </c>
      <c r="B24">
        <v>46983916</v>
      </c>
      <c r="C24">
        <v>47004810</v>
      </c>
      <c r="D24">
        <v>45803296</v>
      </c>
      <c r="E24">
        <v>25</v>
      </c>
      <c r="F24">
        <v>1</v>
      </c>
      <c r="G24">
        <v>25</v>
      </c>
      <c r="H24">
        <v>1</v>
      </c>
      <c r="I24" t="s">
        <v>125</v>
      </c>
      <c r="J24" t="s">
        <v>3</v>
      </c>
      <c r="K24" t="s">
        <v>126</v>
      </c>
      <c r="L24">
        <v>1191</v>
      </c>
      <c r="N24">
        <v>1013</v>
      </c>
      <c r="O24" t="s">
        <v>127</v>
      </c>
      <c r="P24" t="s">
        <v>127</v>
      </c>
      <c r="Q24">
        <v>1</v>
      </c>
      <c r="W24">
        <v>0</v>
      </c>
      <c r="X24">
        <v>476480486</v>
      </c>
      <c r="Y24">
        <v>451.95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451.95</v>
      </c>
      <c r="AU24" t="s">
        <v>3</v>
      </c>
      <c r="AV24">
        <v>1</v>
      </c>
      <c r="AW24">
        <v>2</v>
      </c>
      <c r="AX24">
        <v>47004821</v>
      </c>
      <c r="AY24">
        <v>1</v>
      </c>
      <c r="AZ24">
        <v>0</v>
      </c>
      <c r="BA24">
        <v>24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Y24*Source!I34</f>
        <v>3778.3019999999997</v>
      </c>
      <c r="CY24">
        <f>AD24</f>
        <v>0</v>
      </c>
      <c r="CZ24">
        <f>AH24</f>
        <v>0</v>
      </c>
      <c r="DA24">
        <f>AL24</f>
        <v>1</v>
      </c>
      <c r="DB24">
        <f t="shared" si="5"/>
        <v>0</v>
      </c>
      <c r="DC24">
        <f t="shared" si="6"/>
        <v>0</v>
      </c>
    </row>
    <row r="25" spans="1:107" x14ac:dyDescent="0.2">
      <c r="A25">
        <f>ROW(Source!A34)</f>
        <v>34</v>
      </c>
      <c r="B25">
        <v>46983916</v>
      </c>
      <c r="C25">
        <v>47004810</v>
      </c>
      <c r="D25">
        <v>45819610</v>
      </c>
      <c r="E25">
        <v>1</v>
      </c>
      <c r="F25">
        <v>1</v>
      </c>
      <c r="G25">
        <v>25</v>
      </c>
      <c r="H25">
        <v>2</v>
      </c>
      <c r="I25" t="s">
        <v>141</v>
      </c>
      <c r="J25" t="s">
        <v>142</v>
      </c>
      <c r="K25" t="s">
        <v>143</v>
      </c>
      <c r="L25">
        <v>1368</v>
      </c>
      <c r="N25">
        <v>1011</v>
      </c>
      <c r="O25" t="s">
        <v>131</v>
      </c>
      <c r="P25" t="s">
        <v>131</v>
      </c>
      <c r="Q25">
        <v>1</v>
      </c>
      <c r="W25">
        <v>0</v>
      </c>
      <c r="X25">
        <v>91562076</v>
      </c>
      <c r="Y25">
        <v>1.31</v>
      </c>
      <c r="AA25">
        <v>0</v>
      </c>
      <c r="AB25">
        <v>662.01</v>
      </c>
      <c r="AC25">
        <v>353.32</v>
      </c>
      <c r="AD25">
        <v>0</v>
      </c>
      <c r="AE25">
        <v>0</v>
      </c>
      <c r="AF25">
        <v>662.01</v>
      </c>
      <c r="AG25">
        <v>353.32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1.31</v>
      </c>
      <c r="AU25" t="s">
        <v>3</v>
      </c>
      <c r="AV25">
        <v>0</v>
      </c>
      <c r="AW25">
        <v>2</v>
      </c>
      <c r="AX25">
        <v>47004822</v>
      </c>
      <c r="AY25">
        <v>1</v>
      </c>
      <c r="AZ25">
        <v>0</v>
      </c>
      <c r="BA25">
        <v>25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Y25*Source!I34</f>
        <v>10.951599999999999</v>
      </c>
      <c r="CY25">
        <f>AB25</f>
        <v>662.01</v>
      </c>
      <c r="CZ25">
        <f>AF25</f>
        <v>662.01</v>
      </c>
      <c r="DA25">
        <f>AJ25</f>
        <v>1</v>
      </c>
      <c r="DB25">
        <f t="shared" si="5"/>
        <v>867.23</v>
      </c>
      <c r="DC25">
        <f t="shared" si="6"/>
        <v>462.85</v>
      </c>
    </row>
    <row r="26" spans="1:107" x14ac:dyDescent="0.2">
      <c r="A26">
        <f>ROW(Source!A34)</f>
        <v>34</v>
      </c>
      <c r="B26">
        <v>46983916</v>
      </c>
      <c r="C26">
        <v>47004810</v>
      </c>
      <c r="D26">
        <v>45819696</v>
      </c>
      <c r="E26">
        <v>1</v>
      </c>
      <c r="F26">
        <v>1</v>
      </c>
      <c r="G26">
        <v>25</v>
      </c>
      <c r="H26">
        <v>2</v>
      </c>
      <c r="I26" t="s">
        <v>169</v>
      </c>
      <c r="J26" t="s">
        <v>170</v>
      </c>
      <c r="K26" t="s">
        <v>171</v>
      </c>
      <c r="L26">
        <v>1368</v>
      </c>
      <c r="N26">
        <v>1011</v>
      </c>
      <c r="O26" t="s">
        <v>131</v>
      </c>
      <c r="P26" t="s">
        <v>131</v>
      </c>
      <c r="Q26">
        <v>1</v>
      </c>
      <c r="W26">
        <v>0</v>
      </c>
      <c r="X26">
        <v>-95869070</v>
      </c>
      <c r="Y26">
        <v>1.65</v>
      </c>
      <c r="AA26">
        <v>0</v>
      </c>
      <c r="AB26">
        <v>1942.21</v>
      </c>
      <c r="AC26">
        <v>436.39</v>
      </c>
      <c r="AD26">
        <v>0</v>
      </c>
      <c r="AE26">
        <v>0</v>
      </c>
      <c r="AF26">
        <v>1942.21</v>
      </c>
      <c r="AG26">
        <v>436.39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1.65</v>
      </c>
      <c r="AU26" t="s">
        <v>3</v>
      </c>
      <c r="AV26">
        <v>0</v>
      </c>
      <c r="AW26">
        <v>2</v>
      </c>
      <c r="AX26">
        <v>47004823</v>
      </c>
      <c r="AY26">
        <v>1</v>
      </c>
      <c r="AZ26">
        <v>0</v>
      </c>
      <c r="BA26">
        <v>26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Y26*Source!I34</f>
        <v>13.793999999999999</v>
      </c>
      <c r="CY26">
        <f>AB26</f>
        <v>1942.21</v>
      </c>
      <c r="CZ26">
        <f>AF26</f>
        <v>1942.21</v>
      </c>
      <c r="DA26">
        <f>AJ26</f>
        <v>1</v>
      </c>
      <c r="DB26">
        <f t="shared" si="5"/>
        <v>3204.65</v>
      </c>
      <c r="DC26">
        <f t="shared" si="6"/>
        <v>720.04</v>
      </c>
    </row>
    <row r="27" spans="1:107" x14ac:dyDescent="0.2">
      <c r="A27">
        <f>ROW(Source!A34)</f>
        <v>34</v>
      </c>
      <c r="B27">
        <v>46983916</v>
      </c>
      <c r="C27">
        <v>47004810</v>
      </c>
      <c r="D27">
        <v>45822372</v>
      </c>
      <c r="E27">
        <v>1</v>
      </c>
      <c r="F27">
        <v>1</v>
      </c>
      <c r="G27">
        <v>25</v>
      </c>
      <c r="H27">
        <v>3</v>
      </c>
      <c r="I27" t="s">
        <v>172</v>
      </c>
      <c r="J27" t="s">
        <v>173</v>
      </c>
      <c r="K27" t="s">
        <v>174</v>
      </c>
      <c r="L27">
        <v>1339</v>
      </c>
      <c r="N27">
        <v>1007</v>
      </c>
      <c r="O27" t="s">
        <v>147</v>
      </c>
      <c r="P27" t="s">
        <v>147</v>
      </c>
      <c r="Q27">
        <v>1</v>
      </c>
      <c r="W27">
        <v>0</v>
      </c>
      <c r="X27">
        <v>924487879</v>
      </c>
      <c r="Y27">
        <v>1</v>
      </c>
      <c r="AA27">
        <v>33.729999999999997</v>
      </c>
      <c r="AB27">
        <v>0</v>
      </c>
      <c r="AC27">
        <v>0</v>
      </c>
      <c r="AD27">
        <v>0</v>
      </c>
      <c r="AE27">
        <v>33.729999999999997</v>
      </c>
      <c r="AF27">
        <v>0</v>
      </c>
      <c r="AG27">
        <v>0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1</v>
      </c>
      <c r="AU27" t="s">
        <v>3</v>
      </c>
      <c r="AV27">
        <v>0</v>
      </c>
      <c r="AW27">
        <v>2</v>
      </c>
      <c r="AX27">
        <v>47004824</v>
      </c>
      <c r="AY27">
        <v>1</v>
      </c>
      <c r="AZ27">
        <v>0</v>
      </c>
      <c r="BA27">
        <v>27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Y27*Source!I34</f>
        <v>8.36</v>
      </c>
      <c r="CY27">
        <f>AA27</f>
        <v>33.729999999999997</v>
      </c>
      <c r="CZ27">
        <f>AE27</f>
        <v>33.729999999999997</v>
      </c>
      <c r="DA27">
        <f>AI27</f>
        <v>1</v>
      </c>
      <c r="DB27">
        <f t="shared" si="5"/>
        <v>33.729999999999997</v>
      </c>
      <c r="DC27">
        <f t="shared" si="6"/>
        <v>0</v>
      </c>
    </row>
    <row r="28" spans="1:107" x14ac:dyDescent="0.2">
      <c r="A28">
        <f>ROW(Source!A34)</f>
        <v>34</v>
      </c>
      <c r="B28">
        <v>46983916</v>
      </c>
      <c r="C28">
        <v>47004810</v>
      </c>
      <c r="D28">
        <v>45823419</v>
      </c>
      <c r="E28">
        <v>1</v>
      </c>
      <c r="F28">
        <v>1</v>
      </c>
      <c r="G28">
        <v>25</v>
      </c>
      <c r="H28">
        <v>3</v>
      </c>
      <c r="I28" t="s">
        <v>175</v>
      </c>
      <c r="J28" t="s">
        <v>176</v>
      </c>
      <c r="K28" t="s">
        <v>177</v>
      </c>
      <c r="L28">
        <v>1348</v>
      </c>
      <c r="N28">
        <v>1009</v>
      </c>
      <c r="O28" t="s">
        <v>30</v>
      </c>
      <c r="P28" t="s">
        <v>30</v>
      </c>
      <c r="Q28">
        <v>1000</v>
      </c>
      <c r="W28">
        <v>0</v>
      </c>
      <c r="X28">
        <v>454607026</v>
      </c>
      <c r="Y28">
        <v>10</v>
      </c>
      <c r="AA28">
        <v>3130.47</v>
      </c>
      <c r="AB28">
        <v>0</v>
      </c>
      <c r="AC28">
        <v>0</v>
      </c>
      <c r="AD28">
        <v>0</v>
      </c>
      <c r="AE28">
        <v>3130.47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10</v>
      </c>
      <c r="AU28" t="s">
        <v>3</v>
      </c>
      <c r="AV28">
        <v>0</v>
      </c>
      <c r="AW28">
        <v>2</v>
      </c>
      <c r="AX28">
        <v>47004825</v>
      </c>
      <c r="AY28">
        <v>1</v>
      </c>
      <c r="AZ28">
        <v>0</v>
      </c>
      <c r="BA28">
        <v>28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Y28*Source!I34</f>
        <v>83.6</v>
      </c>
      <c r="CY28">
        <f>AA28</f>
        <v>3130.47</v>
      </c>
      <c r="CZ28">
        <f>AE28</f>
        <v>3130.47</v>
      </c>
      <c r="DA28">
        <f>AI28</f>
        <v>1</v>
      </c>
      <c r="DB28">
        <f t="shared" si="5"/>
        <v>31304.7</v>
      </c>
      <c r="DC28">
        <f t="shared" si="6"/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"/>
  <sheetViews>
    <sheetView workbookViewId="0">
      <selection activeCell="A102" sqref="A102:O102"/>
    </sheetView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ROW(Source!A25)</f>
        <v>25</v>
      </c>
      <c r="B1">
        <v>47004828</v>
      </c>
      <c r="C1">
        <v>47004808</v>
      </c>
      <c r="D1">
        <v>45803296</v>
      </c>
      <c r="E1">
        <v>25</v>
      </c>
      <c r="F1">
        <v>1</v>
      </c>
      <c r="G1">
        <v>25</v>
      </c>
      <c r="H1">
        <v>1</v>
      </c>
      <c r="I1" t="s">
        <v>125</v>
      </c>
      <c r="J1" t="s">
        <v>3</v>
      </c>
      <c r="K1" t="s">
        <v>126</v>
      </c>
      <c r="L1">
        <v>1191</v>
      </c>
      <c r="N1">
        <v>1013</v>
      </c>
      <c r="O1" t="s">
        <v>127</v>
      </c>
      <c r="P1" t="s">
        <v>127</v>
      </c>
      <c r="Q1">
        <v>1</v>
      </c>
      <c r="X1">
        <v>18.68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1</v>
      </c>
      <c r="AF1" t="s">
        <v>3</v>
      </c>
      <c r="AG1">
        <v>18.68</v>
      </c>
      <c r="AH1">
        <v>2</v>
      </c>
      <c r="AI1">
        <v>47004828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ROW(Source!A26)</f>
        <v>26</v>
      </c>
      <c r="B2">
        <v>47004843</v>
      </c>
      <c r="C2">
        <v>47004842</v>
      </c>
      <c r="D2">
        <v>45803296</v>
      </c>
      <c r="E2">
        <v>25</v>
      </c>
      <c r="F2">
        <v>1</v>
      </c>
      <c r="G2">
        <v>25</v>
      </c>
      <c r="H2">
        <v>1</v>
      </c>
      <c r="I2" t="s">
        <v>125</v>
      </c>
      <c r="J2" t="s">
        <v>3</v>
      </c>
      <c r="K2" t="s">
        <v>126</v>
      </c>
      <c r="L2">
        <v>1191</v>
      </c>
      <c r="N2">
        <v>1013</v>
      </c>
      <c r="O2" t="s">
        <v>127</v>
      </c>
      <c r="P2" t="s">
        <v>127</v>
      </c>
      <c r="Q2">
        <v>1</v>
      </c>
      <c r="X2">
        <v>49.5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1</v>
      </c>
      <c r="AF2" t="s">
        <v>3</v>
      </c>
      <c r="AG2">
        <v>49.5</v>
      </c>
      <c r="AH2">
        <v>2</v>
      </c>
      <c r="AI2">
        <v>47004843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ROW(Source!A26)</f>
        <v>26</v>
      </c>
      <c r="B3">
        <v>47004844</v>
      </c>
      <c r="C3">
        <v>47004842</v>
      </c>
      <c r="D3">
        <v>45819515</v>
      </c>
      <c r="E3">
        <v>1</v>
      </c>
      <c r="F3">
        <v>1</v>
      </c>
      <c r="G3">
        <v>25</v>
      </c>
      <c r="H3">
        <v>2</v>
      </c>
      <c r="I3" t="s">
        <v>128</v>
      </c>
      <c r="J3" t="s">
        <v>129</v>
      </c>
      <c r="K3" t="s">
        <v>130</v>
      </c>
      <c r="L3">
        <v>1368</v>
      </c>
      <c r="N3">
        <v>1011</v>
      </c>
      <c r="O3" t="s">
        <v>131</v>
      </c>
      <c r="P3" t="s">
        <v>131</v>
      </c>
      <c r="Q3">
        <v>1</v>
      </c>
      <c r="X3">
        <v>2.87</v>
      </c>
      <c r="Y3">
        <v>0</v>
      </c>
      <c r="Z3">
        <v>923.83</v>
      </c>
      <c r="AA3">
        <v>342.06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2.87</v>
      </c>
      <c r="AH3">
        <v>2</v>
      </c>
      <c r="AI3">
        <v>47004844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ROW(Source!A26)</f>
        <v>26</v>
      </c>
      <c r="B4">
        <v>47004845</v>
      </c>
      <c r="C4">
        <v>47004842</v>
      </c>
      <c r="D4">
        <v>45819494</v>
      </c>
      <c r="E4">
        <v>1</v>
      </c>
      <c r="F4">
        <v>1</v>
      </c>
      <c r="G4">
        <v>25</v>
      </c>
      <c r="H4">
        <v>2</v>
      </c>
      <c r="I4" t="s">
        <v>132</v>
      </c>
      <c r="J4" t="s">
        <v>133</v>
      </c>
      <c r="K4" t="s">
        <v>134</v>
      </c>
      <c r="L4">
        <v>1368</v>
      </c>
      <c r="N4">
        <v>1011</v>
      </c>
      <c r="O4" t="s">
        <v>131</v>
      </c>
      <c r="P4" t="s">
        <v>131</v>
      </c>
      <c r="Q4">
        <v>1</v>
      </c>
      <c r="X4">
        <v>7.86</v>
      </c>
      <c r="Y4">
        <v>0</v>
      </c>
      <c r="Z4">
        <v>1451.71</v>
      </c>
      <c r="AA4">
        <v>457.95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7.86</v>
      </c>
      <c r="AH4">
        <v>2</v>
      </c>
      <c r="AI4">
        <v>47004845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ROW(Source!A27)</f>
        <v>27</v>
      </c>
      <c r="B5">
        <v>47004858</v>
      </c>
      <c r="C5">
        <v>47004857</v>
      </c>
      <c r="D5">
        <v>45819494</v>
      </c>
      <c r="E5">
        <v>1</v>
      </c>
      <c r="F5">
        <v>1</v>
      </c>
      <c r="G5">
        <v>25</v>
      </c>
      <c r="H5">
        <v>2</v>
      </c>
      <c r="I5" t="s">
        <v>132</v>
      </c>
      <c r="J5" t="s">
        <v>133</v>
      </c>
      <c r="K5" t="s">
        <v>134</v>
      </c>
      <c r="L5">
        <v>1368</v>
      </c>
      <c r="N5">
        <v>1011</v>
      </c>
      <c r="O5" t="s">
        <v>131</v>
      </c>
      <c r="P5" t="s">
        <v>131</v>
      </c>
      <c r="Q5">
        <v>1</v>
      </c>
      <c r="X5">
        <v>5.3699999999999998E-2</v>
      </c>
      <c r="Y5">
        <v>0</v>
      </c>
      <c r="Z5">
        <v>1451.71</v>
      </c>
      <c r="AA5">
        <v>457.95</v>
      </c>
      <c r="AB5">
        <v>0</v>
      </c>
      <c r="AC5">
        <v>0</v>
      </c>
      <c r="AD5">
        <v>1</v>
      </c>
      <c r="AE5">
        <v>0</v>
      </c>
      <c r="AF5" t="s">
        <v>3</v>
      </c>
      <c r="AG5">
        <v>5.3699999999999998E-2</v>
      </c>
      <c r="AH5">
        <v>2</v>
      </c>
      <c r="AI5">
        <v>47004858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ROW(Source!A28)</f>
        <v>28</v>
      </c>
      <c r="B6">
        <v>47004860</v>
      </c>
      <c r="C6">
        <v>47004859</v>
      </c>
      <c r="D6">
        <v>45820281</v>
      </c>
      <c r="E6">
        <v>1</v>
      </c>
      <c r="F6">
        <v>1</v>
      </c>
      <c r="G6">
        <v>25</v>
      </c>
      <c r="H6">
        <v>2</v>
      </c>
      <c r="I6" t="s">
        <v>135</v>
      </c>
      <c r="J6" t="s">
        <v>136</v>
      </c>
      <c r="K6" t="s">
        <v>137</v>
      </c>
      <c r="L6">
        <v>1368</v>
      </c>
      <c r="N6">
        <v>1011</v>
      </c>
      <c r="O6" t="s">
        <v>131</v>
      </c>
      <c r="P6" t="s">
        <v>131</v>
      </c>
      <c r="Q6">
        <v>1</v>
      </c>
      <c r="X6">
        <v>0.02</v>
      </c>
      <c r="Y6">
        <v>0</v>
      </c>
      <c r="Z6">
        <v>952.49</v>
      </c>
      <c r="AA6">
        <v>301.5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0.02</v>
      </c>
      <c r="AH6">
        <v>2</v>
      </c>
      <c r="AI6">
        <v>47004860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47004861</v>
      </c>
      <c r="C7">
        <v>47004859</v>
      </c>
      <c r="D7">
        <v>45820282</v>
      </c>
      <c r="E7">
        <v>1</v>
      </c>
      <c r="F7">
        <v>1</v>
      </c>
      <c r="G7">
        <v>25</v>
      </c>
      <c r="H7">
        <v>2</v>
      </c>
      <c r="I7" t="s">
        <v>138</v>
      </c>
      <c r="J7" t="s">
        <v>139</v>
      </c>
      <c r="K7" t="s">
        <v>140</v>
      </c>
      <c r="L7">
        <v>1368</v>
      </c>
      <c r="N7">
        <v>1011</v>
      </c>
      <c r="O7" t="s">
        <v>131</v>
      </c>
      <c r="P7" t="s">
        <v>131</v>
      </c>
      <c r="Q7">
        <v>1</v>
      </c>
      <c r="X7">
        <v>1.7999999999999999E-2</v>
      </c>
      <c r="Y7">
        <v>0</v>
      </c>
      <c r="Z7">
        <v>993.6</v>
      </c>
      <c r="AA7">
        <v>301.8</v>
      </c>
      <c r="AB7">
        <v>0</v>
      </c>
      <c r="AC7">
        <v>0</v>
      </c>
      <c r="AD7">
        <v>1</v>
      </c>
      <c r="AE7">
        <v>0</v>
      </c>
      <c r="AF7" t="s">
        <v>3</v>
      </c>
      <c r="AG7">
        <v>1.7999999999999999E-2</v>
      </c>
      <c r="AH7">
        <v>2</v>
      </c>
      <c r="AI7">
        <v>47004861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ROW(Source!A29)</f>
        <v>29</v>
      </c>
      <c r="B8">
        <v>47004863</v>
      </c>
      <c r="C8">
        <v>47004862</v>
      </c>
      <c r="D8">
        <v>45820281</v>
      </c>
      <c r="E8">
        <v>1</v>
      </c>
      <c r="F8">
        <v>1</v>
      </c>
      <c r="G8">
        <v>25</v>
      </c>
      <c r="H8">
        <v>2</v>
      </c>
      <c r="I8" t="s">
        <v>135</v>
      </c>
      <c r="J8" t="s">
        <v>136</v>
      </c>
      <c r="K8" t="s">
        <v>137</v>
      </c>
      <c r="L8">
        <v>1368</v>
      </c>
      <c r="N8">
        <v>1011</v>
      </c>
      <c r="O8" t="s">
        <v>131</v>
      </c>
      <c r="P8" t="s">
        <v>131</v>
      </c>
      <c r="Q8">
        <v>1</v>
      </c>
      <c r="X8">
        <v>0.01</v>
      </c>
      <c r="Y8">
        <v>0</v>
      </c>
      <c r="Z8">
        <v>952.49</v>
      </c>
      <c r="AA8">
        <v>301.5</v>
      </c>
      <c r="AB8">
        <v>0</v>
      </c>
      <c r="AC8">
        <v>0</v>
      </c>
      <c r="AD8">
        <v>1</v>
      </c>
      <c r="AE8">
        <v>0</v>
      </c>
      <c r="AF8" t="s">
        <v>42</v>
      </c>
      <c r="AG8">
        <v>0.26</v>
      </c>
      <c r="AH8">
        <v>2</v>
      </c>
      <c r="AI8">
        <v>47004863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ROW(Source!A29)</f>
        <v>29</v>
      </c>
      <c r="B9">
        <v>47004864</v>
      </c>
      <c r="C9">
        <v>47004862</v>
      </c>
      <c r="D9">
        <v>45820282</v>
      </c>
      <c r="E9">
        <v>1</v>
      </c>
      <c r="F9">
        <v>1</v>
      </c>
      <c r="G9">
        <v>25</v>
      </c>
      <c r="H9">
        <v>2</v>
      </c>
      <c r="I9" t="s">
        <v>138</v>
      </c>
      <c r="J9" t="s">
        <v>139</v>
      </c>
      <c r="K9" t="s">
        <v>140</v>
      </c>
      <c r="L9">
        <v>1368</v>
      </c>
      <c r="N9">
        <v>1011</v>
      </c>
      <c r="O9" t="s">
        <v>131</v>
      </c>
      <c r="P9" t="s">
        <v>131</v>
      </c>
      <c r="Q9">
        <v>1</v>
      </c>
      <c r="X9">
        <v>8.0000000000000002E-3</v>
      </c>
      <c r="Y9">
        <v>0</v>
      </c>
      <c r="Z9">
        <v>993.6</v>
      </c>
      <c r="AA9">
        <v>301.8</v>
      </c>
      <c r="AB9">
        <v>0</v>
      </c>
      <c r="AC9">
        <v>0</v>
      </c>
      <c r="AD9">
        <v>1</v>
      </c>
      <c r="AE9">
        <v>0</v>
      </c>
      <c r="AF9" t="s">
        <v>42</v>
      </c>
      <c r="AG9">
        <v>0.20800000000000002</v>
      </c>
      <c r="AH9">
        <v>2</v>
      </c>
      <c r="AI9">
        <v>47004864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ROW(Source!A31)</f>
        <v>31</v>
      </c>
      <c r="B10">
        <v>47004889</v>
      </c>
      <c r="C10">
        <v>47004888</v>
      </c>
      <c r="D10">
        <v>45803296</v>
      </c>
      <c r="E10">
        <v>25</v>
      </c>
      <c r="F10">
        <v>1</v>
      </c>
      <c r="G10">
        <v>25</v>
      </c>
      <c r="H10">
        <v>1</v>
      </c>
      <c r="I10" t="s">
        <v>125</v>
      </c>
      <c r="J10" t="s">
        <v>3</v>
      </c>
      <c r="K10" t="s">
        <v>126</v>
      </c>
      <c r="L10">
        <v>1191</v>
      </c>
      <c r="N10">
        <v>1013</v>
      </c>
      <c r="O10" t="s">
        <v>127</v>
      </c>
      <c r="P10" t="s">
        <v>127</v>
      </c>
      <c r="Q10">
        <v>1</v>
      </c>
      <c r="X10">
        <v>25.98</v>
      </c>
      <c r="Y10">
        <v>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1</v>
      </c>
      <c r="AF10" t="s">
        <v>3</v>
      </c>
      <c r="AG10">
        <v>25.98</v>
      </c>
      <c r="AH10">
        <v>2</v>
      </c>
      <c r="AI10">
        <v>47004889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ROW(Source!A31)</f>
        <v>31</v>
      </c>
      <c r="B11">
        <v>47004890</v>
      </c>
      <c r="C11">
        <v>47004888</v>
      </c>
      <c r="D11">
        <v>45819610</v>
      </c>
      <c r="E11">
        <v>1</v>
      </c>
      <c r="F11">
        <v>1</v>
      </c>
      <c r="G11">
        <v>25</v>
      </c>
      <c r="H11">
        <v>2</v>
      </c>
      <c r="I11" t="s">
        <v>141</v>
      </c>
      <c r="J11" t="s">
        <v>142</v>
      </c>
      <c r="K11" t="s">
        <v>143</v>
      </c>
      <c r="L11">
        <v>1368</v>
      </c>
      <c r="N11">
        <v>1011</v>
      </c>
      <c r="O11" t="s">
        <v>131</v>
      </c>
      <c r="P11" t="s">
        <v>131</v>
      </c>
      <c r="Q11">
        <v>1</v>
      </c>
      <c r="X11">
        <v>0.86</v>
      </c>
      <c r="Y11">
        <v>0</v>
      </c>
      <c r="Z11">
        <v>662.01</v>
      </c>
      <c r="AA11">
        <v>353.32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0.86</v>
      </c>
      <c r="AH11">
        <v>2</v>
      </c>
      <c r="AI11">
        <v>47004890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ROW(Source!A31)</f>
        <v>31</v>
      </c>
      <c r="B12">
        <v>47004891</v>
      </c>
      <c r="C12">
        <v>47004888</v>
      </c>
      <c r="D12">
        <v>45823308</v>
      </c>
      <c r="E12">
        <v>1</v>
      </c>
      <c r="F12">
        <v>1</v>
      </c>
      <c r="G12">
        <v>25</v>
      </c>
      <c r="H12">
        <v>3</v>
      </c>
      <c r="I12" t="s">
        <v>144</v>
      </c>
      <c r="J12" t="s">
        <v>145</v>
      </c>
      <c r="K12" t="s">
        <v>146</v>
      </c>
      <c r="L12">
        <v>1339</v>
      </c>
      <c r="N12">
        <v>1007</v>
      </c>
      <c r="O12" t="s">
        <v>147</v>
      </c>
      <c r="P12" t="s">
        <v>147</v>
      </c>
      <c r="Q12">
        <v>1</v>
      </c>
      <c r="X12">
        <v>4.3</v>
      </c>
      <c r="Y12">
        <v>3529.68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4.3</v>
      </c>
      <c r="AH12">
        <v>2</v>
      </c>
      <c r="AI12">
        <v>47004891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ROW(Source!A31)</f>
        <v>31</v>
      </c>
      <c r="B13">
        <v>47004892</v>
      </c>
      <c r="C13">
        <v>47004888</v>
      </c>
      <c r="D13">
        <v>45824258</v>
      </c>
      <c r="E13">
        <v>1</v>
      </c>
      <c r="F13">
        <v>1</v>
      </c>
      <c r="G13">
        <v>25</v>
      </c>
      <c r="H13">
        <v>3</v>
      </c>
      <c r="I13" t="s">
        <v>148</v>
      </c>
      <c r="J13" t="s">
        <v>149</v>
      </c>
      <c r="K13" t="s">
        <v>150</v>
      </c>
      <c r="L13">
        <v>1035</v>
      </c>
      <c r="N13">
        <v>1013</v>
      </c>
      <c r="O13" t="s">
        <v>151</v>
      </c>
      <c r="P13" t="s">
        <v>151</v>
      </c>
      <c r="Q13">
        <v>1</v>
      </c>
      <c r="X13">
        <v>100</v>
      </c>
      <c r="Y13">
        <v>5240.13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100</v>
      </c>
      <c r="AH13">
        <v>2</v>
      </c>
      <c r="AI13">
        <v>47004892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ROW(Source!A32)</f>
        <v>32</v>
      </c>
      <c r="B14">
        <v>47004912</v>
      </c>
      <c r="C14">
        <v>47004906</v>
      </c>
      <c r="D14">
        <v>45803296</v>
      </c>
      <c r="E14">
        <v>25</v>
      </c>
      <c r="F14">
        <v>1</v>
      </c>
      <c r="G14">
        <v>25</v>
      </c>
      <c r="H14">
        <v>1</v>
      </c>
      <c r="I14" t="s">
        <v>125</v>
      </c>
      <c r="J14" t="s">
        <v>3</v>
      </c>
      <c r="K14" t="s">
        <v>126</v>
      </c>
      <c r="L14">
        <v>1191</v>
      </c>
      <c r="N14">
        <v>1013</v>
      </c>
      <c r="O14" t="s">
        <v>127</v>
      </c>
      <c r="P14" t="s">
        <v>127</v>
      </c>
      <c r="Q14">
        <v>1</v>
      </c>
      <c r="X14">
        <v>44.85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1</v>
      </c>
      <c r="AF14" t="s">
        <v>3</v>
      </c>
      <c r="AG14">
        <v>44.85</v>
      </c>
      <c r="AH14">
        <v>2</v>
      </c>
      <c r="AI14">
        <v>47004912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ROW(Source!A32)</f>
        <v>32</v>
      </c>
      <c r="B15">
        <v>47004913</v>
      </c>
      <c r="C15">
        <v>47004906</v>
      </c>
      <c r="D15">
        <v>45820478</v>
      </c>
      <c r="E15">
        <v>1</v>
      </c>
      <c r="F15">
        <v>1</v>
      </c>
      <c r="G15">
        <v>25</v>
      </c>
      <c r="H15">
        <v>3</v>
      </c>
      <c r="I15" t="s">
        <v>152</v>
      </c>
      <c r="J15" t="s">
        <v>153</v>
      </c>
      <c r="K15" t="s">
        <v>154</v>
      </c>
      <c r="L15">
        <v>1348</v>
      </c>
      <c r="N15">
        <v>1009</v>
      </c>
      <c r="O15" t="s">
        <v>30</v>
      </c>
      <c r="P15" t="s">
        <v>30</v>
      </c>
      <c r="Q15">
        <v>1000</v>
      </c>
      <c r="X15">
        <v>1.6E-2</v>
      </c>
      <c r="Y15">
        <v>19810.5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1.6E-2</v>
      </c>
      <c r="AH15">
        <v>2</v>
      </c>
      <c r="AI15">
        <v>47004913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ROW(Source!A32)</f>
        <v>32</v>
      </c>
      <c r="B16">
        <v>47004914</v>
      </c>
      <c r="C16">
        <v>47004906</v>
      </c>
      <c r="D16">
        <v>45820546</v>
      </c>
      <c r="E16">
        <v>1</v>
      </c>
      <c r="F16">
        <v>1</v>
      </c>
      <c r="G16">
        <v>25</v>
      </c>
      <c r="H16">
        <v>3</v>
      </c>
      <c r="I16" t="s">
        <v>155</v>
      </c>
      <c r="J16" t="s">
        <v>156</v>
      </c>
      <c r="K16" t="s">
        <v>157</v>
      </c>
      <c r="L16">
        <v>1348</v>
      </c>
      <c r="N16">
        <v>1009</v>
      </c>
      <c r="O16" t="s">
        <v>30</v>
      </c>
      <c r="P16" t="s">
        <v>30</v>
      </c>
      <c r="Q16">
        <v>1000</v>
      </c>
      <c r="X16">
        <v>0.24</v>
      </c>
      <c r="Y16">
        <v>123041.56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0.24</v>
      </c>
      <c r="AH16">
        <v>2</v>
      </c>
      <c r="AI16">
        <v>47004914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ROW(Source!A32)</f>
        <v>32</v>
      </c>
      <c r="B17">
        <v>47004915</v>
      </c>
      <c r="C17">
        <v>47004906</v>
      </c>
      <c r="D17">
        <v>45822187</v>
      </c>
      <c r="E17">
        <v>1</v>
      </c>
      <c r="F17">
        <v>1</v>
      </c>
      <c r="G17">
        <v>25</v>
      </c>
      <c r="H17">
        <v>3</v>
      </c>
      <c r="I17" t="s">
        <v>158</v>
      </c>
      <c r="J17" t="s">
        <v>159</v>
      </c>
      <c r="K17" t="s">
        <v>160</v>
      </c>
      <c r="L17">
        <v>1346</v>
      </c>
      <c r="N17">
        <v>1009</v>
      </c>
      <c r="O17" t="s">
        <v>161</v>
      </c>
      <c r="P17" t="s">
        <v>161</v>
      </c>
      <c r="Q17">
        <v>1</v>
      </c>
      <c r="X17">
        <v>0.1</v>
      </c>
      <c r="Y17">
        <v>29.63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0.1</v>
      </c>
      <c r="AH17">
        <v>2</v>
      </c>
      <c r="AI17">
        <v>47004915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ROW(Source!A32)</f>
        <v>32</v>
      </c>
      <c r="B18">
        <v>47004916</v>
      </c>
      <c r="C18">
        <v>47004906</v>
      </c>
      <c r="D18">
        <v>45820672</v>
      </c>
      <c r="E18">
        <v>1</v>
      </c>
      <c r="F18">
        <v>1</v>
      </c>
      <c r="G18">
        <v>25</v>
      </c>
      <c r="H18">
        <v>3</v>
      </c>
      <c r="I18" t="s">
        <v>162</v>
      </c>
      <c r="J18" t="s">
        <v>163</v>
      </c>
      <c r="K18" t="s">
        <v>164</v>
      </c>
      <c r="L18">
        <v>1348</v>
      </c>
      <c r="N18">
        <v>1009</v>
      </c>
      <c r="O18" t="s">
        <v>30</v>
      </c>
      <c r="P18" t="s">
        <v>30</v>
      </c>
      <c r="Q18">
        <v>1000</v>
      </c>
      <c r="X18">
        <v>2.4E-2</v>
      </c>
      <c r="Y18">
        <v>77577.179999999993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2.4E-2</v>
      </c>
      <c r="AH18">
        <v>2</v>
      </c>
      <c r="AI18">
        <v>47004916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ROW(Source!A33)</f>
        <v>33</v>
      </c>
      <c r="B19">
        <v>47004918</v>
      </c>
      <c r="C19">
        <v>47004917</v>
      </c>
      <c r="D19">
        <v>45803296</v>
      </c>
      <c r="E19">
        <v>25</v>
      </c>
      <c r="F19">
        <v>1</v>
      </c>
      <c r="G19">
        <v>25</v>
      </c>
      <c r="H19">
        <v>1</v>
      </c>
      <c r="I19" t="s">
        <v>125</v>
      </c>
      <c r="J19" t="s">
        <v>3</v>
      </c>
      <c r="K19" t="s">
        <v>126</v>
      </c>
      <c r="L19">
        <v>1191</v>
      </c>
      <c r="N19">
        <v>1013</v>
      </c>
      <c r="O19" t="s">
        <v>127</v>
      </c>
      <c r="P19" t="s">
        <v>127</v>
      </c>
      <c r="Q19">
        <v>1</v>
      </c>
      <c r="X19">
        <v>65.55</v>
      </c>
      <c r="Y19">
        <v>0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1</v>
      </c>
      <c r="AF19" t="s">
        <v>3</v>
      </c>
      <c r="AG19">
        <v>65.55</v>
      </c>
      <c r="AH19">
        <v>2</v>
      </c>
      <c r="AI19">
        <v>47004918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ROW(Source!A33)</f>
        <v>33</v>
      </c>
      <c r="B20">
        <v>47004919</v>
      </c>
      <c r="C20">
        <v>47004917</v>
      </c>
      <c r="D20">
        <v>45820478</v>
      </c>
      <c r="E20">
        <v>1</v>
      </c>
      <c r="F20">
        <v>1</v>
      </c>
      <c r="G20">
        <v>25</v>
      </c>
      <c r="H20">
        <v>3</v>
      </c>
      <c r="I20" t="s">
        <v>152</v>
      </c>
      <c r="J20" t="s">
        <v>153</v>
      </c>
      <c r="K20" t="s">
        <v>154</v>
      </c>
      <c r="L20">
        <v>1348</v>
      </c>
      <c r="N20">
        <v>1009</v>
      </c>
      <c r="O20" t="s">
        <v>30</v>
      </c>
      <c r="P20" t="s">
        <v>30</v>
      </c>
      <c r="Q20">
        <v>1000</v>
      </c>
      <c r="X20">
        <v>1.6E-2</v>
      </c>
      <c r="Y20">
        <v>19810.5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1.6E-2</v>
      </c>
      <c r="AH20">
        <v>2</v>
      </c>
      <c r="AI20">
        <v>47004919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ROW(Source!A33)</f>
        <v>33</v>
      </c>
      <c r="B21">
        <v>47004920</v>
      </c>
      <c r="C21">
        <v>47004917</v>
      </c>
      <c r="D21">
        <v>45820546</v>
      </c>
      <c r="E21">
        <v>1</v>
      </c>
      <c r="F21">
        <v>1</v>
      </c>
      <c r="G21">
        <v>25</v>
      </c>
      <c r="H21">
        <v>3</v>
      </c>
      <c r="I21" t="s">
        <v>155</v>
      </c>
      <c r="J21" t="s">
        <v>156</v>
      </c>
      <c r="K21" t="s">
        <v>157</v>
      </c>
      <c r="L21">
        <v>1348</v>
      </c>
      <c r="N21">
        <v>1009</v>
      </c>
      <c r="O21" t="s">
        <v>30</v>
      </c>
      <c r="P21" t="s">
        <v>30</v>
      </c>
      <c r="Q21">
        <v>1000</v>
      </c>
      <c r="X21">
        <v>0.44</v>
      </c>
      <c r="Y21">
        <v>123041.56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0.44</v>
      </c>
      <c r="AH21">
        <v>2</v>
      </c>
      <c r="AI21">
        <v>47004920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ROW(Source!A33)</f>
        <v>33</v>
      </c>
      <c r="B22">
        <v>47004921</v>
      </c>
      <c r="C22">
        <v>47004917</v>
      </c>
      <c r="D22">
        <v>45820630</v>
      </c>
      <c r="E22">
        <v>1</v>
      </c>
      <c r="F22">
        <v>1</v>
      </c>
      <c r="G22">
        <v>25</v>
      </c>
      <c r="H22">
        <v>3</v>
      </c>
      <c r="I22" t="s">
        <v>165</v>
      </c>
      <c r="J22" t="s">
        <v>166</v>
      </c>
      <c r="K22" t="s">
        <v>167</v>
      </c>
      <c r="L22">
        <v>1327</v>
      </c>
      <c r="N22">
        <v>1005</v>
      </c>
      <c r="O22" t="s">
        <v>168</v>
      </c>
      <c r="P22" t="s">
        <v>168</v>
      </c>
      <c r="Q22">
        <v>1</v>
      </c>
      <c r="X22">
        <v>230</v>
      </c>
      <c r="Y22">
        <v>71.72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230</v>
      </c>
      <c r="AH22">
        <v>2</v>
      </c>
      <c r="AI22">
        <v>47004921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ROW(Source!A33)</f>
        <v>33</v>
      </c>
      <c r="B23">
        <v>47004922</v>
      </c>
      <c r="C23">
        <v>47004917</v>
      </c>
      <c r="D23">
        <v>45820672</v>
      </c>
      <c r="E23">
        <v>1</v>
      </c>
      <c r="F23">
        <v>1</v>
      </c>
      <c r="G23">
        <v>25</v>
      </c>
      <c r="H23">
        <v>3</v>
      </c>
      <c r="I23" t="s">
        <v>162</v>
      </c>
      <c r="J23" t="s">
        <v>163</v>
      </c>
      <c r="K23" t="s">
        <v>164</v>
      </c>
      <c r="L23">
        <v>1348</v>
      </c>
      <c r="N23">
        <v>1009</v>
      </c>
      <c r="O23" t="s">
        <v>30</v>
      </c>
      <c r="P23" t="s">
        <v>30</v>
      </c>
      <c r="Q23">
        <v>1000</v>
      </c>
      <c r="X23">
        <v>2.4E-2</v>
      </c>
      <c r="Y23">
        <v>77577.179999999993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2.4E-2</v>
      </c>
      <c r="AH23">
        <v>2</v>
      </c>
      <c r="AI23">
        <v>47004922</v>
      </c>
      <c r="AJ23">
        <v>23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ROW(Source!A34)</f>
        <v>34</v>
      </c>
      <c r="B24">
        <v>47004821</v>
      </c>
      <c r="C24">
        <v>47004810</v>
      </c>
      <c r="D24">
        <v>45803296</v>
      </c>
      <c r="E24">
        <v>25</v>
      </c>
      <c r="F24">
        <v>1</v>
      </c>
      <c r="G24">
        <v>25</v>
      </c>
      <c r="H24">
        <v>1</v>
      </c>
      <c r="I24" t="s">
        <v>125</v>
      </c>
      <c r="J24" t="s">
        <v>3</v>
      </c>
      <c r="K24" t="s">
        <v>126</v>
      </c>
      <c r="L24">
        <v>1191</v>
      </c>
      <c r="N24">
        <v>1013</v>
      </c>
      <c r="O24" t="s">
        <v>127</v>
      </c>
      <c r="P24" t="s">
        <v>127</v>
      </c>
      <c r="Q24">
        <v>1</v>
      </c>
      <c r="X24">
        <v>451.95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1</v>
      </c>
      <c r="AF24" t="s">
        <v>3</v>
      </c>
      <c r="AG24">
        <v>451.95</v>
      </c>
      <c r="AH24">
        <v>2</v>
      </c>
      <c r="AI24">
        <v>47004821</v>
      </c>
      <c r="AJ24">
        <v>24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ROW(Source!A34)</f>
        <v>34</v>
      </c>
      <c r="B25">
        <v>47004822</v>
      </c>
      <c r="C25">
        <v>47004810</v>
      </c>
      <c r="D25">
        <v>45819610</v>
      </c>
      <c r="E25">
        <v>1</v>
      </c>
      <c r="F25">
        <v>1</v>
      </c>
      <c r="G25">
        <v>25</v>
      </c>
      <c r="H25">
        <v>2</v>
      </c>
      <c r="I25" t="s">
        <v>141</v>
      </c>
      <c r="J25" t="s">
        <v>142</v>
      </c>
      <c r="K25" t="s">
        <v>143</v>
      </c>
      <c r="L25">
        <v>1368</v>
      </c>
      <c r="N25">
        <v>1011</v>
      </c>
      <c r="O25" t="s">
        <v>131</v>
      </c>
      <c r="P25" t="s">
        <v>131</v>
      </c>
      <c r="Q25">
        <v>1</v>
      </c>
      <c r="X25">
        <v>1.31</v>
      </c>
      <c r="Y25">
        <v>0</v>
      </c>
      <c r="Z25">
        <v>662.01</v>
      </c>
      <c r="AA25">
        <v>353.32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1.31</v>
      </c>
      <c r="AH25">
        <v>2</v>
      </c>
      <c r="AI25">
        <v>47004822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ROW(Source!A34)</f>
        <v>34</v>
      </c>
      <c r="B26">
        <v>47004823</v>
      </c>
      <c r="C26">
        <v>47004810</v>
      </c>
      <c r="D26">
        <v>45819696</v>
      </c>
      <c r="E26">
        <v>1</v>
      </c>
      <c r="F26">
        <v>1</v>
      </c>
      <c r="G26">
        <v>25</v>
      </c>
      <c r="H26">
        <v>2</v>
      </c>
      <c r="I26" t="s">
        <v>169</v>
      </c>
      <c r="J26" t="s">
        <v>170</v>
      </c>
      <c r="K26" t="s">
        <v>171</v>
      </c>
      <c r="L26">
        <v>1368</v>
      </c>
      <c r="N26">
        <v>1011</v>
      </c>
      <c r="O26" t="s">
        <v>131</v>
      </c>
      <c r="P26" t="s">
        <v>131</v>
      </c>
      <c r="Q26">
        <v>1</v>
      </c>
      <c r="X26">
        <v>1.65</v>
      </c>
      <c r="Y26">
        <v>0</v>
      </c>
      <c r="Z26">
        <v>1942.21</v>
      </c>
      <c r="AA26">
        <v>436.39</v>
      </c>
      <c r="AB26">
        <v>0</v>
      </c>
      <c r="AC26">
        <v>0</v>
      </c>
      <c r="AD26">
        <v>1</v>
      </c>
      <c r="AE26">
        <v>0</v>
      </c>
      <c r="AF26" t="s">
        <v>3</v>
      </c>
      <c r="AG26">
        <v>1.65</v>
      </c>
      <c r="AH26">
        <v>2</v>
      </c>
      <c r="AI26">
        <v>47004823</v>
      </c>
      <c r="AJ26">
        <v>26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ROW(Source!A34)</f>
        <v>34</v>
      </c>
      <c r="B27">
        <v>47004824</v>
      </c>
      <c r="C27">
        <v>47004810</v>
      </c>
      <c r="D27">
        <v>45822372</v>
      </c>
      <c r="E27">
        <v>1</v>
      </c>
      <c r="F27">
        <v>1</v>
      </c>
      <c r="G27">
        <v>25</v>
      </c>
      <c r="H27">
        <v>3</v>
      </c>
      <c r="I27" t="s">
        <v>172</v>
      </c>
      <c r="J27" t="s">
        <v>173</v>
      </c>
      <c r="K27" t="s">
        <v>174</v>
      </c>
      <c r="L27">
        <v>1339</v>
      </c>
      <c r="N27">
        <v>1007</v>
      </c>
      <c r="O27" t="s">
        <v>147</v>
      </c>
      <c r="P27" t="s">
        <v>147</v>
      </c>
      <c r="Q27">
        <v>1</v>
      </c>
      <c r="X27">
        <v>1</v>
      </c>
      <c r="Y27">
        <v>33.729999999999997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1</v>
      </c>
      <c r="AH27">
        <v>2</v>
      </c>
      <c r="AI27">
        <v>47004824</v>
      </c>
      <c r="AJ27">
        <v>27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ROW(Source!A34)</f>
        <v>34</v>
      </c>
      <c r="B28">
        <v>47004825</v>
      </c>
      <c r="C28">
        <v>47004810</v>
      </c>
      <c r="D28">
        <v>45823419</v>
      </c>
      <c r="E28">
        <v>1</v>
      </c>
      <c r="F28">
        <v>1</v>
      </c>
      <c r="G28">
        <v>25</v>
      </c>
      <c r="H28">
        <v>3</v>
      </c>
      <c r="I28" t="s">
        <v>175</v>
      </c>
      <c r="J28" t="s">
        <v>176</v>
      </c>
      <c r="K28" t="s">
        <v>177</v>
      </c>
      <c r="L28">
        <v>1348</v>
      </c>
      <c r="N28">
        <v>1009</v>
      </c>
      <c r="O28" t="s">
        <v>30</v>
      </c>
      <c r="P28" t="s">
        <v>30</v>
      </c>
      <c r="Q28">
        <v>1000</v>
      </c>
      <c r="X28">
        <v>10</v>
      </c>
      <c r="Y28">
        <v>3130.47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10</v>
      </c>
      <c r="AH28">
        <v>2</v>
      </c>
      <c r="AI28">
        <v>47004825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ROW(Source!A34)</f>
        <v>34</v>
      </c>
      <c r="B29">
        <v>47004826</v>
      </c>
      <c r="C29">
        <v>47004810</v>
      </c>
      <c r="D29">
        <v>45804190</v>
      </c>
      <c r="E29">
        <v>25</v>
      </c>
      <c r="F29">
        <v>1</v>
      </c>
      <c r="G29">
        <v>25</v>
      </c>
      <c r="H29">
        <v>3</v>
      </c>
      <c r="I29" t="s">
        <v>178</v>
      </c>
      <c r="J29" t="s">
        <v>3</v>
      </c>
      <c r="K29" t="s">
        <v>179</v>
      </c>
      <c r="L29">
        <v>1327</v>
      </c>
      <c r="N29">
        <v>1005</v>
      </c>
      <c r="O29" t="s">
        <v>168</v>
      </c>
      <c r="P29" t="s">
        <v>168</v>
      </c>
      <c r="Q29">
        <v>1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 t="s">
        <v>3</v>
      </c>
      <c r="AG29">
        <v>0</v>
      </c>
      <c r="AH29">
        <v>3</v>
      </c>
      <c r="AI29">
        <v>-1</v>
      </c>
      <c r="AJ29" t="s">
        <v>3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Смета СН-2012 по гл. 1-5</vt:lpstr>
      <vt:lpstr>Ведомость объемов работ</vt:lpstr>
      <vt:lpstr>RV_DATA</vt:lpstr>
      <vt:lpstr>Расчет стоимости ресурсов</vt:lpstr>
      <vt:lpstr>Source</vt:lpstr>
      <vt:lpstr>SourceObSm</vt:lpstr>
      <vt:lpstr>SmtRes</vt:lpstr>
      <vt:lpstr>EtalonRes</vt:lpstr>
      <vt:lpstr>'Ведомость объемов работ'!Заголовки_для_печати</vt:lpstr>
      <vt:lpstr>'Расчет стоимости ресурсов'!Заголовки_для_печати</vt:lpstr>
      <vt:lpstr>'Смета СН-2012 по гл. 1-5'!Заголовки_для_печати</vt:lpstr>
      <vt:lpstr>'Ведомость объемов работ'!Область_печати</vt:lpstr>
      <vt:lpstr>'Расчет стоимости ресурсов'!Область_печати</vt:lpstr>
      <vt:lpstr>'Смета СН-2012 по гл. 1-5'!Область_печати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Homyt</cp:lastModifiedBy>
  <dcterms:created xsi:type="dcterms:W3CDTF">2020-02-19T07:59:23Z</dcterms:created>
  <dcterms:modified xsi:type="dcterms:W3CDTF">2020-02-19T08:00:28Z</dcterms:modified>
</cp:coreProperties>
</file>