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ригорий\Desktop\"/>
    </mc:Choice>
  </mc:AlternateContent>
  <bookViews>
    <workbookView xWindow="0" yWindow="0" windowWidth="28800" windowHeight="12330"/>
  </bookViews>
  <sheets>
    <sheet name="Смета СН-2012 по гл. 1-5" sheetId="5" r:id="rId1"/>
    <sheet name="RV_DATA" sheetId="7" state="hidden" r:id="rId2"/>
    <sheet name="Расчет стоимости ресурсов" sheetId="6" r:id="rId3"/>
    <sheet name="Дефектная ведомость" sheetId="8" r:id="rId4"/>
    <sheet name="Ведомость объемов работ" sheetId="9" r:id="rId5"/>
    <sheet name="Source" sheetId="1" r:id="rId6"/>
    <sheet name="SourceObSm" sheetId="2" state="hidden" r:id="rId7"/>
    <sheet name="SmtRes" sheetId="3" state="hidden" r:id="rId8"/>
    <sheet name="EtalonRes" sheetId="4" state="hidden" r:id="rId9"/>
  </sheets>
  <definedNames>
    <definedName name="_xlnm.Print_Titles" localSheetId="4">'Ведомость объемов работ'!$18:$18</definedName>
    <definedName name="_xlnm.Print_Titles" localSheetId="3">'Дефектная ведомость'!$18:$18</definedName>
    <definedName name="_xlnm.Print_Titles" localSheetId="2">'Расчет стоимости ресурсов'!$4:$7</definedName>
    <definedName name="_xlnm.Print_Titles" localSheetId="0">'Смета СН-2012 по гл. 1-5'!$30:$30</definedName>
    <definedName name="_xlnm.Print_Area" localSheetId="4">'Ведомость объемов работ'!$A$1:$D$89</definedName>
    <definedName name="_xlnm.Print_Area" localSheetId="3">'Дефектная ведомость'!$A$1:$E$89</definedName>
    <definedName name="_xlnm.Print_Area" localSheetId="2">'Расчет стоимости ресурсов'!$A$1:$F$86</definedName>
    <definedName name="_xlnm.Print_Area" localSheetId="0">'Смета СН-2012 по гл. 1-5'!$A$1:$K$585</definedName>
  </definedNames>
  <calcPr calcId="162913"/>
</workbook>
</file>

<file path=xl/calcChain.xml><?xml version="1.0" encoding="utf-8"?>
<calcChain xmlns="http://schemas.openxmlformats.org/spreadsheetml/2006/main">
  <c r="D213" i="1" l="1"/>
  <c r="E215" i="1"/>
  <c r="Z215" i="1"/>
  <c r="AA215" i="1"/>
  <c r="AM215" i="1"/>
  <c r="AN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E215" i="1"/>
  <c r="DF215" i="1"/>
  <c r="DG215" i="1"/>
  <c r="DH215" i="1"/>
  <c r="DI215" i="1"/>
  <c r="DJ215" i="1"/>
  <c r="DK215" i="1"/>
  <c r="DL215" i="1"/>
  <c r="DM215" i="1"/>
  <c r="DN215" i="1"/>
  <c r="DO215" i="1"/>
  <c r="DP215" i="1"/>
  <c r="DQ215" i="1"/>
  <c r="DR215" i="1"/>
  <c r="DS215" i="1"/>
  <c r="DT215" i="1"/>
  <c r="DU215" i="1"/>
  <c r="DV215" i="1"/>
  <c r="DW215" i="1"/>
  <c r="DX215" i="1"/>
  <c r="DY215" i="1"/>
  <c r="DZ215" i="1"/>
  <c r="EA215" i="1"/>
  <c r="EB215" i="1"/>
  <c r="EC215" i="1"/>
  <c r="ED215" i="1"/>
  <c r="EE215" i="1"/>
  <c r="EF215" i="1"/>
  <c r="EG215" i="1"/>
  <c r="EH215" i="1"/>
  <c r="EI215" i="1"/>
  <c r="EJ215" i="1"/>
  <c r="EK215" i="1"/>
  <c r="EL215" i="1"/>
  <c r="EM215" i="1"/>
  <c r="EN215" i="1"/>
  <c r="EO215" i="1"/>
  <c r="EP215" i="1"/>
  <c r="EQ215" i="1"/>
  <c r="ER215" i="1"/>
  <c r="ES215" i="1"/>
  <c r="ET215" i="1"/>
  <c r="EU215" i="1"/>
  <c r="EV215" i="1"/>
  <c r="EW215" i="1"/>
  <c r="EX215" i="1"/>
  <c r="EY215" i="1"/>
  <c r="EZ215" i="1"/>
  <c r="FA215" i="1"/>
  <c r="FB215" i="1"/>
  <c r="FC215" i="1"/>
  <c r="FD215" i="1"/>
  <c r="FE215" i="1"/>
  <c r="FF215" i="1"/>
  <c r="FG215" i="1"/>
  <c r="FH215" i="1"/>
  <c r="FI215" i="1"/>
  <c r="FJ215" i="1"/>
  <c r="FK215" i="1"/>
  <c r="FL215" i="1"/>
  <c r="FM215" i="1"/>
  <c r="FN215" i="1"/>
  <c r="FO215" i="1"/>
  <c r="FP215" i="1"/>
  <c r="FQ215" i="1"/>
  <c r="FR215" i="1"/>
  <c r="FS215" i="1"/>
  <c r="FT215" i="1"/>
  <c r="FU215" i="1"/>
  <c r="FV215" i="1"/>
  <c r="FW215" i="1"/>
  <c r="FX215" i="1"/>
  <c r="FY215" i="1"/>
  <c r="FZ215" i="1"/>
  <c r="GA215" i="1"/>
  <c r="GB215" i="1"/>
  <c r="GC215" i="1"/>
  <c r="GD215" i="1"/>
  <c r="GE215" i="1"/>
  <c r="GF215" i="1"/>
  <c r="GG215" i="1"/>
  <c r="GH215" i="1"/>
  <c r="GI215" i="1"/>
  <c r="GJ215" i="1"/>
  <c r="GK215" i="1"/>
  <c r="GL215" i="1"/>
  <c r="GM215" i="1"/>
  <c r="GN215" i="1"/>
  <c r="GO215" i="1"/>
  <c r="GP215" i="1"/>
  <c r="GQ215" i="1"/>
  <c r="GR215" i="1"/>
  <c r="GS215" i="1"/>
  <c r="GT215" i="1"/>
  <c r="GU215" i="1"/>
  <c r="GV215" i="1"/>
  <c r="GW215" i="1"/>
  <c r="GX215" i="1"/>
  <c r="C217" i="1"/>
  <c r="D217" i="1"/>
  <c r="I217" i="1"/>
  <c r="Q217" i="1"/>
  <c r="R217" i="1"/>
  <c r="GK217" i="1" s="1"/>
  <c r="AC217" i="1"/>
  <c r="AB217" i="1" s="1"/>
  <c r="AD217" i="1"/>
  <c r="AE217" i="1"/>
  <c r="AF217" i="1"/>
  <c r="CT217" i="1" s="1"/>
  <c r="S217" i="1" s="1"/>
  <c r="AG217" i="1"/>
  <c r="CU217" i="1" s="1"/>
  <c r="T217" i="1" s="1"/>
  <c r="AG222" i="1" s="1"/>
  <c r="AH217" i="1"/>
  <c r="AI217" i="1"/>
  <c r="AJ217" i="1"/>
  <c r="CQ217" i="1"/>
  <c r="P217" i="1" s="1"/>
  <c r="CR217" i="1"/>
  <c r="CS217" i="1"/>
  <c r="CV217" i="1"/>
  <c r="U217" i="1" s="1"/>
  <c r="CW217" i="1"/>
  <c r="V217" i="1" s="1"/>
  <c r="AI222" i="1" s="1"/>
  <c r="CX217" i="1"/>
  <c r="W217" i="1" s="1"/>
  <c r="FR217" i="1"/>
  <c r="GL217" i="1"/>
  <c r="GN217" i="1"/>
  <c r="GO217" i="1"/>
  <c r="GV217" i="1"/>
  <c r="HC217" i="1" s="1"/>
  <c r="GX217" i="1" s="1"/>
  <c r="CJ222" i="1" s="1"/>
  <c r="C218" i="1"/>
  <c r="D218" i="1"/>
  <c r="I218" i="1"/>
  <c r="P218" i="1"/>
  <c r="V218" i="1"/>
  <c r="AC218" i="1"/>
  <c r="AE218" i="1"/>
  <c r="AD218" i="1" s="1"/>
  <c r="AB218" i="1" s="1"/>
  <c r="AF218" i="1"/>
  <c r="CT218" i="1" s="1"/>
  <c r="S218" i="1" s="1"/>
  <c r="AG218" i="1"/>
  <c r="AH218" i="1"/>
  <c r="CV218" i="1" s="1"/>
  <c r="U218" i="1" s="1"/>
  <c r="AI218" i="1"/>
  <c r="AJ218" i="1"/>
  <c r="CX218" i="1" s="1"/>
  <c r="W218" i="1" s="1"/>
  <c r="CQ218" i="1"/>
  <c r="CR218" i="1"/>
  <c r="Q218" i="1" s="1"/>
  <c r="AD222" i="1" s="1"/>
  <c r="CS218" i="1"/>
  <c r="R218" i="1" s="1"/>
  <c r="CU218" i="1"/>
  <c r="T218" i="1" s="1"/>
  <c r="CW218" i="1"/>
  <c r="FR218" i="1"/>
  <c r="GL218" i="1"/>
  <c r="BZ222" i="1" s="1"/>
  <c r="GN218" i="1"/>
  <c r="GO218" i="1"/>
  <c r="GV218" i="1"/>
  <c r="GX218" i="1"/>
  <c r="HC218" i="1"/>
  <c r="C219" i="1"/>
  <c r="D219" i="1"/>
  <c r="I219" i="1"/>
  <c r="Q219" i="1"/>
  <c r="R219" i="1"/>
  <c r="GK219" i="1" s="1"/>
  <c r="T219" i="1"/>
  <c r="AC219" i="1"/>
  <c r="AD219" i="1"/>
  <c r="AB219" i="1" s="1"/>
  <c r="AE219" i="1"/>
  <c r="AF219" i="1"/>
  <c r="CT219" i="1" s="1"/>
  <c r="S219" i="1" s="1"/>
  <c r="AG219" i="1"/>
  <c r="AH219" i="1"/>
  <c r="AI219" i="1"/>
  <c r="AJ219" i="1"/>
  <c r="CX219" i="1" s="1"/>
  <c r="W219" i="1" s="1"/>
  <c r="CQ219" i="1"/>
  <c r="P219" i="1" s="1"/>
  <c r="CR219" i="1"/>
  <c r="CS219" i="1"/>
  <c r="CU219" i="1"/>
  <c r="CV219" i="1"/>
  <c r="U219" i="1" s="1"/>
  <c r="CW219" i="1"/>
  <c r="V219" i="1" s="1"/>
  <c r="FR219" i="1"/>
  <c r="GL219" i="1"/>
  <c r="GN219" i="1"/>
  <c r="GO219" i="1"/>
  <c r="GV219" i="1"/>
  <c r="HC219" i="1" s="1"/>
  <c r="GX219" i="1" s="1"/>
  <c r="I220" i="1"/>
  <c r="P220" i="1"/>
  <c r="Q220" i="1"/>
  <c r="R220" i="1"/>
  <c r="GK220" i="1" s="1"/>
  <c r="AB220" i="1"/>
  <c r="AC220" i="1"/>
  <c r="AD220" i="1"/>
  <c r="AE220" i="1"/>
  <c r="AF220" i="1"/>
  <c r="AG220" i="1"/>
  <c r="AH220" i="1"/>
  <c r="CV220" i="1" s="1"/>
  <c r="U220" i="1" s="1"/>
  <c r="AI220" i="1"/>
  <c r="AJ220" i="1"/>
  <c r="CX220" i="1" s="1"/>
  <c r="W220" i="1" s="1"/>
  <c r="CQ220" i="1"/>
  <c r="CR220" i="1"/>
  <c r="CS220" i="1"/>
  <c r="CT220" i="1"/>
  <c r="S220" i="1" s="1"/>
  <c r="CU220" i="1"/>
  <c r="T220" i="1" s="1"/>
  <c r="CW220" i="1"/>
  <c r="V220" i="1" s="1"/>
  <c r="FR220" i="1"/>
  <c r="GL220" i="1"/>
  <c r="GN220" i="1"/>
  <c r="CB222" i="1" s="1"/>
  <c r="GO220" i="1"/>
  <c r="GV220" i="1"/>
  <c r="HC220" i="1"/>
  <c r="GX220" i="1" s="1"/>
  <c r="B222" i="1"/>
  <c r="B215" i="1" s="1"/>
  <c r="C222" i="1"/>
  <c r="C215" i="1" s="1"/>
  <c r="D222" i="1"/>
  <c r="D215" i="1" s="1"/>
  <c r="F222" i="1"/>
  <c r="F215" i="1" s="1"/>
  <c r="G222" i="1"/>
  <c r="G215" i="1" s="1"/>
  <c r="BX222" i="1"/>
  <c r="AO222" i="1" s="1"/>
  <c r="BY222" i="1"/>
  <c r="AP222" i="1" s="1"/>
  <c r="CC222" i="1"/>
  <c r="AT222" i="1" s="1"/>
  <c r="CK222" i="1"/>
  <c r="BB222" i="1" s="1"/>
  <c r="CL222" i="1"/>
  <c r="CL215" i="1" s="1"/>
  <c r="CJ215" i="1" l="1"/>
  <c r="BA222" i="1"/>
  <c r="V222" i="1"/>
  <c r="AI215" i="1"/>
  <c r="F226" i="1"/>
  <c r="AO215" i="1"/>
  <c r="AP215" i="1"/>
  <c r="F231" i="1"/>
  <c r="CY218" i="1"/>
  <c r="X218" i="1" s="1"/>
  <c r="CZ218" i="1"/>
  <c r="Y218" i="1" s="1"/>
  <c r="Q222" i="1"/>
  <c r="AD215" i="1"/>
  <c r="CP217" i="1"/>
  <c r="O217" i="1" s="1"/>
  <c r="AC222" i="1"/>
  <c r="T222" i="1"/>
  <c r="AG215" i="1"/>
  <c r="AT215" i="1"/>
  <c r="F240" i="1"/>
  <c r="CY220" i="1"/>
  <c r="X220" i="1" s="1"/>
  <c r="CZ220" i="1"/>
  <c r="Y220" i="1" s="1"/>
  <c r="AH222" i="1"/>
  <c r="CB215" i="1"/>
  <c r="AS222" i="1"/>
  <c r="AE222" i="1"/>
  <c r="GK218" i="1"/>
  <c r="CP218" i="1"/>
  <c r="O218" i="1" s="1"/>
  <c r="CZ219" i="1"/>
  <c r="Y219" i="1" s="1"/>
  <c r="CY219" i="1"/>
  <c r="X219" i="1" s="1"/>
  <c r="CZ217" i="1"/>
  <c r="Y217" i="1" s="1"/>
  <c r="AL222" i="1" s="1"/>
  <c r="AF222" i="1"/>
  <c r="CY217" i="1"/>
  <c r="X217" i="1" s="1"/>
  <c r="AK222" i="1" s="1"/>
  <c r="CP219" i="1"/>
  <c r="O219" i="1" s="1"/>
  <c r="F235" i="1"/>
  <c r="BB215" i="1"/>
  <c r="CP220" i="1"/>
  <c r="O220" i="1" s="1"/>
  <c r="AQ222" i="1"/>
  <c r="BZ215" i="1"/>
  <c r="AJ222" i="1"/>
  <c r="BC222" i="1"/>
  <c r="BY215" i="1"/>
  <c r="BX215" i="1"/>
  <c r="CI222" i="1"/>
  <c r="CK215" i="1"/>
  <c r="CC215" i="1"/>
  <c r="CG222" i="1"/>
  <c r="AE215" i="1" l="1"/>
  <c r="R222" i="1"/>
  <c r="AF215" i="1"/>
  <c r="S222" i="1"/>
  <c r="GP219" i="1"/>
  <c r="GM219" i="1"/>
  <c r="F238" i="1"/>
  <c r="BC215" i="1"/>
  <c r="F239" i="1"/>
  <c r="AS215" i="1"/>
  <c r="F243" i="1"/>
  <c r="T215" i="1"/>
  <c r="U222" i="1"/>
  <c r="AH215" i="1"/>
  <c r="GP217" i="1"/>
  <c r="CD222" i="1" s="1"/>
  <c r="GM217" i="1"/>
  <c r="CA222" i="1" s="1"/>
  <c r="AB222" i="1"/>
  <c r="X222" i="1"/>
  <c r="AK215" i="1"/>
  <c r="Y222" i="1"/>
  <c r="AL215" i="1"/>
  <c r="GP220" i="1"/>
  <c r="GM220" i="1"/>
  <c r="F234" i="1"/>
  <c r="Q215" i="1"/>
  <c r="F245" i="1"/>
  <c r="V215" i="1"/>
  <c r="CH222" i="1"/>
  <c r="P222" i="1"/>
  <c r="AC215" i="1"/>
  <c r="CE222" i="1"/>
  <c r="CF222" i="1"/>
  <c r="AX222" i="1"/>
  <c r="CG215" i="1"/>
  <c r="AZ222" i="1"/>
  <c r="CI215" i="1"/>
  <c r="GM218" i="1"/>
  <c r="GP218" i="1"/>
  <c r="F242" i="1"/>
  <c r="BA215" i="1"/>
  <c r="W222" i="1"/>
  <c r="AJ215" i="1"/>
  <c r="AQ215" i="1"/>
  <c r="F232" i="1"/>
  <c r="AW222" i="1" l="1"/>
  <c r="CF215" i="1"/>
  <c r="P215" i="1"/>
  <c r="F225" i="1"/>
  <c r="S215" i="1"/>
  <c r="F237" i="1"/>
  <c r="CD215" i="1"/>
  <c r="AU222" i="1"/>
  <c r="F244" i="1"/>
  <c r="U215" i="1"/>
  <c r="AY222" i="1"/>
  <c r="CH215" i="1"/>
  <c r="F233" i="1"/>
  <c r="AZ215" i="1"/>
  <c r="AR222" i="1"/>
  <c r="CA215" i="1"/>
  <c r="AV222" i="1"/>
  <c r="CE215" i="1"/>
  <c r="Y215" i="1"/>
  <c r="F248" i="1"/>
  <c r="X215" i="1"/>
  <c r="F247" i="1"/>
  <c r="R215" i="1"/>
  <c r="F236" i="1"/>
  <c r="W215" i="1"/>
  <c r="F246" i="1"/>
  <c r="AX215" i="1"/>
  <c r="F229" i="1"/>
  <c r="O222" i="1"/>
  <c r="AB215" i="1"/>
  <c r="F249" i="1" l="1"/>
  <c r="AR215" i="1"/>
  <c r="F224" i="1"/>
  <c r="O215" i="1"/>
  <c r="AU215" i="1"/>
  <c r="F241" i="1"/>
  <c r="AY215" i="1"/>
  <c r="F230" i="1"/>
  <c r="AV215" i="1"/>
  <c r="F227" i="1"/>
  <c r="AW215" i="1"/>
  <c r="F228" i="1"/>
  <c r="G6" i="5" l="1"/>
  <c r="C84" i="9"/>
  <c r="B84" i="9"/>
  <c r="A83" i="9"/>
  <c r="C82" i="9"/>
  <c r="B82" i="9"/>
  <c r="AE81" i="9"/>
  <c r="A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AE72" i="9"/>
  <c r="A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AE63" i="9"/>
  <c r="A63" i="9"/>
  <c r="D62" i="9"/>
  <c r="C62" i="9"/>
  <c r="B62" i="9"/>
  <c r="AE61" i="9"/>
  <c r="A61" i="9"/>
  <c r="D60" i="9"/>
  <c r="C60" i="9"/>
  <c r="B60" i="9"/>
  <c r="D59" i="9"/>
  <c r="C59" i="9"/>
  <c r="B59" i="9"/>
  <c r="D58" i="9"/>
  <c r="C58" i="9"/>
  <c r="B58" i="9"/>
  <c r="A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A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AE38" i="9"/>
  <c r="A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AE29" i="9"/>
  <c r="A29" i="9"/>
  <c r="D28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AE20" i="9"/>
  <c r="A20" i="9"/>
  <c r="AE19" i="9"/>
  <c r="A19" i="9"/>
  <c r="A12" i="9"/>
  <c r="A11" i="9"/>
  <c r="A1" i="9"/>
  <c r="C84" i="8"/>
  <c r="B84" i="8"/>
  <c r="A83" i="8"/>
  <c r="C82" i="8"/>
  <c r="B82" i="8"/>
  <c r="AE81" i="8"/>
  <c r="A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AE72" i="8"/>
  <c r="A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A63" i="8"/>
  <c r="D62" i="8"/>
  <c r="C62" i="8"/>
  <c r="B62" i="8"/>
  <c r="AE61" i="8"/>
  <c r="A61" i="8"/>
  <c r="D60" i="8"/>
  <c r="C60" i="8"/>
  <c r="B60" i="8"/>
  <c r="D59" i="8"/>
  <c r="C59" i="8"/>
  <c r="B59" i="8"/>
  <c r="D58" i="8"/>
  <c r="C58" i="8"/>
  <c r="B58" i="8"/>
  <c r="A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A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AE38" i="8"/>
  <c r="A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AE29" i="8"/>
  <c r="A29" i="8"/>
  <c r="D28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A20" i="8"/>
  <c r="AE19" i="8"/>
  <c r="A19" i="8"/>
  <c r="A12" i="8"/>
  <c r="A11" i="8"/>
  <c r="A1" i="8"/>
  <c r="A42" i="6"/>
  <c r="E31" i="6"/>
  <c r="G72" i="7"/>
  <c r="A72" i="7"/>
  <c r="U71" i="7"/>
  <c r="Q71" i="7"/>
  <c r="S71" i="7"/>
  <c r="P71" i="7"/>
  <c r="L71" i="7"/>
  <c r="N71" i="7"/>
  <c r="E81" i="6" s="1"/>
  <c r="K71" i="7"/>
  <c r="J71" i="7"/>
  <c r="H71" i="7"/>
  <c r="G71" i="7"/>
  <c r="F71" i="7"/>
  <c r="E71" i="7"/>
  <c r="A71" i="7"/>
  <c r="U70" i="7"/>
  <c r="Q70" i="7"/>
  <c r="S70" i="7"/>
  <c r="P70" i="7"/>
  <c r="L70" i="7"/>
  <c r="N70" i="7"/>
  <c r="E82" i="6" s="1"/>
  <c r="K70" i="7"/>
  <c r="J70" i="7"/>
  <c r="H70" i="7"/>
  <c r="G70" i="7"/>
  <c r="F70" i="7"/>
  <c r="E70" i="7"/>
  <c r="A70" i="7"/>
  <c r="U69" i="7"/>
  <c r="Q69" i="7"/>
  <c r="S69" i="7"/>
  <c r="P69" i="7"/>
  <c r="L69" i="7"/>
  <c r="N69" i="7"/>
  <c r="E83" i="6" s="1"/>
  <c r="K69" i="7"/>
  <c r="J69" i="7"/>
  <c r="H69" i="7"/>
  <c r="G69" i="7"/>
  <c r="F69" i="7"/>
  <c r="E69" i="7"/>
  <c r="A69" i="7"/>
  <c r="G68" i="7"/>
  <c r="A68" i="7"/>
  <c r="U67" i="7"/>
  <c r="Q67" i="7"/>
  <c r="S67" i="7"/>
  <c r="P67" i="7"/>
  <c r="L67" i="7"/>
  <c r="N67" i="7"/>
  <c r="E74" i="6" s="1"/>
  <c r="K67" i="7"/>
  <c r="J67" i="7"/>
  <c r="H67" i="7"/>
  <c r="G67" i="7"/>
  <c r="F67" i="7"/>
  <c r="E67" i="7"/>
  <c r="A67" i="7"/>
  <c r="U66" i="7"/>
  <c r="Q66" i="7"/>
  <c r="S66" i="7"/>
  <c r="P66" i="7"/>
  <c r="L66" i="7"/>
  <c r="N66" i="7"/>
  <c r="E75" i="6" s="1"/>
  <c r="K66" i="7"/>
  <c r="J66" i="7"/>
  <c r="H66" i="7"/>
  <c r="G66" i="7"/>
  <c r="F66" i="7"/>
  <c r="E66" i="7"/>
  <c r="A66" i="7"/>
  <c r="U65" i="7"/>
  <c r="Q65" i="7"/>
  <c r="S65" i="7"/>
  <c r="P65" i="7"/>
  <c r="L65" i="7"/>
  <c r="N65" i="7"/>
  <c r="E76" i="6" s="1"/>
  <c r="K65" i="7"/>
  <c r="J65" i="7"/>
  <c r="H65" i="7"/>
  <c r="G65" i="7"/>
  <c r="F65" i="7"/>
  <c r="E65" i="7"/>
  <c r="A65" i="7"/>
  <c r="U64" i="7"/>
  <c r="Q64" i="7"/>
  <c r="S64" i="7"/>
  <c r="P64" i="7"/>
  <c r="L64" i="7"/>
  <c r="N64" i="7"/>
  <c r="E72" i="6" s="1"/>
  <c r="K64" i="7"/>
  <c r="J64" i="7"/>
  <c r="H64" i="7"/>
  <c r="G64" i="7"/>
  <c r="F64" i="7"/>
  <c r="E64" i="7"/>
  <c r="A64" i="7"/>
  <c r="U63" i="7"/>
  <c r="Q63" i="7"/>
  <c r="S63" i="7"/>
  <c r="P63" i="7"/>
  <c r="L63" i="7"/>
  <c r="N63" i="7"/>
  <c r="E73" i="6" s="1"/>
  <c r="K63" i="7"/>
  <c r="J63" i="7"/>
  <c r="H63" i="7"/>
  <c r="G63" i="7"/>
  <c r="F63" i="7"/>
  <c r="E63" i="7"/>
  <c r="A63" i="7"/>
  <c r="U62" i="7"/>
  <c r="H62" i="7"/>
  <c r="G62" i="7"/>
  <c r="F62" i="7"/>
  <c r="E62" i="7"/>
  <c r="D62" i="7"/>
  <c r="A62" i="7"/>
  <c r="G61" i="7"/>
  <c r="A61" i="7"/>
  <c r="U60" i="7"/>
  <c r="H60" i="7"/>
  <c r="G60" i="7"/>
  <c r="F60" i="7"/>
  <c r="E60" i="7"/>
  <c r="D60" i="7"/>
  <c r="A60" i="7"/>
  <c r="U59" i="7"/>
  <c r="Q59" i="7"/>
  <c r="S59" i="7"/>
  <c r="P59" i="7"/>
  <c r="L59" i="7"/>
  <c r="N59" i="7"/>
  <c r="E62" i="6" s="1"/>
  <c r="K59" i="7"/>
  <c r="J59" i="7"/>
  <c r="H59" i="7"/>
  <c r="G59" i="7"/>
  <c r="F59" i="7"/>
  <c r="E59" i="7"/>
  <c r="A59" i="7"/>
  <c r="U58" i="7"/>
  <c r="Q58" i="7"/>
  <c r="S58" i="7"/>
  <c r="P58" i="7"/>
  <c r="L58" i="7"/>
  <c r="N58" i="7"/>
  <c r="E65" i="6" s="1"/>
  <c r="K58" i="7"/>
  <c r="J58" i="7"/>
  <c r="H58" i="7"/>
  <c r="G58" i="7"/>
  <c r="F58" i="7"/>
  <c r="E58" i="7"/>
  <c r="A58" i="7"/>
  <c r="U57" i="7"/>
  <c r="Q57" i="7"/>
  <c r="S57" i="7"/>
  <c r="P57" i="7"/>
  <c r="L57" i="7"/>
  <c r="N57" i="7"/>
  <c r="E67" i="6" s="1"/>
  <c r="K57" i="7"/>
  <c r="J57" i="7"/>
  <c r="H57" i="7"/>
  <c r="G57" i="7"/>
  <c r="F57" i="7"/>
  <c r="E57" i="7"/>
  <c r="A57" i="7"/>
  <c r="U56" i="7"/>
  <c r="Q56" i="7"/>
  <c r="S56" i="7"/>
  <c r="P56" i="7"/>
  <c r="L56" i="7"/>
  <c r="N56" i="7"/>
  <c r="E63" i="6" s="1"/>
  <c r="K56" i="7"/>
  <c r="J56" i="7"/>
  <c r="H56" i="7"/>
  <c r="G56" i="7"/>
  <c r="F56" i="7"/>
  <c r="E56" i="7"/>
  <c r="A56" i="7"/>
  <c r="U55" i="7"/>
  <c r="Q55" i="7"/>
  <c r="S55" i="7"/>
  <c r="P55" i="7"/>
  <c r="L55" i="7"/>
  <c r="N55" i="7"/>
  <c r="K55" i="7"/>
  <c r="J55" i="7"/>
  <c r="H55" i="7"/>
  <c r="G55" i="7"/>
  <c r="F55" i="7"/>
  <c r="E55" i="7"/>
  <c r="A55" i="7"/>
  <c r="U54" i="7"/>
  <c r="Q54" i="7"/>
  <c r="S54" i="7"/>
  <c r="P54" i="7"/>
  <c r="L54" i="7"/>
  <c r="N54" i="7"/>
  <c r="E61" i="6" s="1"/>
  <c r="K54" i="7"/>
  <c r="J54" i="7"/>
  <c r="H54" i="7"/>
  <c r="G54" i="7"/>
  <c r="F54" i="7"/>
  <c r="E54" i="7"/>
  <c r="A54" i="7"/>
  <c r="U53" i="7"/>
  <c r="Q53" i="7"/>
  <c r="S53" i="7"/>
  <c r="P53" i="7"/>
  <c r="L53" i="7"/>
  <c r="N53" i="7"/>
  <c r="E64" i="6" s="1"/>
  <c r="K53" i="7"/>
  <c r="J53" i="7"/>
  <c r="H53" i="7"/>
  <c r="G53" i="7"/>
  <c r="F53" i="7"/>
  <c r="E53" i="7"/>
  <c r="A53" i="7"/>
  <c r="U52" i="7"/>
  <c r="H52" i="7"/>
  <c r="G52" i="7"/>
  <c r="F52" i="7"/>
  <c r="E52" i="7"/>
  <c r="D52" i="7"/>
  <c r="A52" i="7"/>
  <c r="G51" i="7"/>
  <c r="A51" i="7"/>
  <c r="U50" i="7"/>
  <c r="H50" i="7"/>
  <c r="G50" i="7"/>
  <c r="F50" i="7"/>
  <c r="E50" i="7"/>
  <c r="D50" i="7"/>
  <c r="A50" i="7"/>
  <c r="U49" i="7"/>
  <c r="Q49" i="7"/>
  <c r="S49" i="7"/>
  <c r="P49" i="7"/>
  <c r="L49" i="7"/>
  <c r="O49" i="7" s="1"/>
  <c r="F54" i="6" s="1"/>
  <c r="N49" i="7"/>
  <c r="E54" i="6" s="1"/>
  <c r="K49" i="7"/>
  <c r="J49" i="7"/>
  <c r="I49" i="7"/>
  <c r="D54" i="6" s="1"/>
  <c r="H49" i="7"/>
  <c r="G49" i="7"/>
  <c r="F49" i="7"/>
  <c r="E49" i="7"/>
  <c r="A49" i="7"/>
  <c r="U48" i="7"/>
  <c r="Q48" i="7"/>
  <c r="R48" i="7" s="1"/>
  <c r="S48" i="7"/>
  <c r="P48" i="7"/>
  <c r="L48" i="7"/>
  <c r="O48" i="7" s="1"/>
  <c r="F56" i="6" s="1"/>
  <c r="N48" i="7"/>
  <c r="E56" i="6" s="1"/>
  <c r="K48" i="7"/>
  <c r="J48" i="7"/>
  <c r="I48" i="7"/>
  <c r="D56" i="6" s="1"/>
  <c r="H48" i="7"/>
  <c r="G48" i="7"/>
  <c r="F48" i="7"/>
  <c r="E48" i="7"/>
  <c r="A48" i="7"/>
  <c r="U47" i="7"/>
  <c r="R47" i="7"/>
  <c r="Q47" i="7"/>
  <c r="T47" i="7" s="1"/>
  <c r="S47" i="7"/>
  <c r="P47" i="7"/>
  <c r="L47" i="7"/>
  <c r="O47" i="7" s="1"/>
  <c r="F57" i="6" s="1"/>
  <c r="N47" i="7"/>
  <c r="E57" i="6" s="1"/>
  <c r="K47" i="7"/>
  <c r="J47" i="7"/>
  <c r="I47" i="7"/>
  <c r="D57" i="6" s="1"/>
  <c r="H47" i="7"/>
  <c r="G47" i="7"/>
  <c r="F47" i="7"/>
  <c r="E47" i="7"/>
  <c r="A47" i="7"/>
  <c r="G46" i="7"/>
  <c r="A46" i="7"/>
  <c r="U45" i="7"/>
  <c r="S45" i="7"/>
  <c r="P45" i="7"/>
  <c r="N45" i="7"/>
  <c r="E47" i="6" s="1"/>
  <c r="K45" i="7"/>
  <c r="M45" i="7" s="1"/>
  <c r="I45" i="7"/>
  <c r="D47" i="6" s="1"/>
  <c r="H45" i="7"/>
  <c r="G45" i="7"/>
  <c r="F45" i="7"/>
  <c r="E45" i="7"/>
  <c r="D45" i="7"/>
  <c r="A45" i="7"/>
  <c r="U44" i="7"/>
  <c r="Q44" i="7"/>
  <c r="S44" i="7"/>
  <c r="P44" i="7"/>
  <c r="L44" i="7"/>
  <c r="O44" i="7" s="1"/>
  <c r="F44" i="6" s="1"/>
  <c r="N44" i="7"/>
  <c r="E44" i="6" s="1"/>
  <c r="K44" i="7"/>
  <c r="J44" i="7"/>
  <c r="I44" i="7"/>
  <c r="D44" i="6" s="1"/>
  <c r="H44" i="7"/>
  <c r="G44" i="7"/>
  <c r="F44" i="7"/>
  <c r="E44" i="7"/>
  <c r="A44" i="7"/>
  <c r="U43" i="7"/>
  <c r="T43" i="7"/>
  <c r="Q43" i="7"/>
  <c r="R43" i="7" s="1"/>
  <c r="S43" i="7"/>
  <c r="P43" i="7"/>
  <c r="L43" i="7"/>
  <c r="O43" i="7" s="1"/>
  <c r="F45" i="6" s="1"/>
  <c r="N43" i="7"/>
  <c r="E45" i="6" s="1"/>
  <c r="K43" i="7"/>
  <c r="J43" i="7"/>
  <c r="I43" i="7"/>
  <c r="D45" i="6" s="1"/>
  <c r="H43" i="7"/>
  <c r="G43" i="7"/>
  <c r="F43" i="7"/>
  <c r="E43" i="7"/>
  <c r="A43" i="7"/>
  <c r="U42" i="7"/>
  <c r="Q42" i="7"/>
  <c r="T42" i="7" s="1"/>
  <c r="S42" i="7"/>
  <c r="P42" i="7"/>
  <c r="L42" i="7"/>
  <c r="O42" i="7" s="1"/>
  <c r="F46" i="6" s="1"/>
  <c r="N42" i="7"/>
  <c r="E46" i="6" s="1"/>
  <c r="K42" i="7"/>
  <c r="J42" i="7"/>
  <c r="I42" i="7"/>
  <c r="D46" i="6" s="1"/>
  <c r="H42" i="7"/>
  <c r="G42" i="7"/>
  <c r="F42" i="7"/>
  <c r="E42" i="7"/>
  <c r="A42" i="7"/>
  <c r="U41" i="7"/>
  <c r="T41" i="7"/>
  <c r="R41" i="7"/>
  <c r="Q41" i="7"/>
  <c r="S41" i="7"/>
  <c r="P41" i="7"/>
  <c r="L41" i="7"/>
  <c r="O41" i="7" s="1"/>
  <c r="F50" i="6" s="1"/>
  <c r="N41" i="7"/>
  <c r="E50" i="6" s="1"/>
  <c r="K41" i="7"/>
  <c r="J41" i="7"/>
  <c r="I41" i="7"/>
  <c r="D50" i="6" s="1"/>
  <c r="H41" i="7"/>
  <c r="G41" i="7"/>
  <c r="F41" i="7"/>
  <c r="E41" i="7"/>
  <c r="A41" i="7"/>
  <c r="U40" i="7"/>
  <c r="Q40" i="7"/>
  <c r="S40" i="7"/>
  <c r="P40" i="7"/>
  <c r="L40" i="7"/>
  <c r="O40" i="7" s="1"/>
  <c r="N40" i="7"/>
  <c r="K40" i="7"/>
  <c r="J40" i="7"/>
  <c r="I40" i="7"/>
  <c r="H40" i="7"/>
  <c r="G40" i="7"/>
  <c r="F40" i="7"/>
  <c r="E40" i="7"/>
  <c r="A40" i="7"/>
  <c r="U39" i="7"/>
  <c r="T39" i="7"/>
  <c r="Q39" i="7"/>
  <c r="R39" i="7" s="1"/>
  <c r="S39" i="7"/>
  <c r="P39" i="7"/>
  <c r="L39" i="7"/>
  <c r="O39" i="7" s="1"/>
  <c r="N39" i="7"/>
  <c r="K39" i="7"/>
  <c r="J39" i="7"/>
  <c r="I39" i="7"/>
  <c r="H39" i="7"/>
  <c r="G39" i="7"/>
  <c r="F39" i="7"/>
  <c r="E39" i="7"/>
  <c r="A39" i="7"/>
  <c r="U38" i="7"/>
  <c r="Q38" i="7"/>
  <c r="T38" i="7" s="1"/>
  <c r="S38" i="7"/>
  <c r="P38" i="7"/>
  <c r="L38" i="7"/>
  <c r="O38" i="7" s="1"/>
  <c r="F48" i="6" s="1"/>
  <c r="N38" i="7"/>
  <c r="E48" i="6" s="1"/>
  <c r="K38" i="7"/>
  <c r="J38" i="7"/>
  <c r="I38" i="7"/>
  <c r="D48" i="6" s="1"/>
  <c r="H38" i="7"/>
  <c r="G38" i="7"/>
  <c r="F38" i="7"/>
  <c r="E38" i="7"/>
  <c r="A38" i="7"/>
  <c r="U37" i="7"/>
  <c r="R37" i="7"/>
  <c r="Q37" i="7"/>
  <c r="T37" i="7" s="1"/>
  <c r="S37" i="7"/>
  <c r="P37" i="7"/>
  <c r="L37" i="7"/>
  <c r="O37" i="7" s="1"/>
  <c r="F49" i="6" s="1"/>
  <c r="N37" i="7"/>
  <c r="E49" i="6" s="1"/>
  <c r="K37" i="7"/>
  <c r="J37" i="7"/>
  <c r="I37" i="7"/>
  <c r="D49" i="6" s="1"/>
  <c r="H37" i="7"/>
  <c r="G37" i="7"/>
  <c r="F37" i="7"/>
  <c r="E37" i="7"/>
  <c r="A37" i="7"/>
  <c r="G36" i="7"/>
  <c r="A36" i="7"/>
  <c r="U35" i="7"/>
  <c r="Q35" i="7"/>
  <c r="S35" i="7"/>
  <c r="P35" i="7"/>
  <c r="L35" i="7"/>
  <c r="N35" i="7"/>
  <c r="E37" i="6" s="1"/>
  <c r="K35" i="7"/>
  <c r="J35" i="7"/>
  <c r="H35" i="7"/>
  <c r="G35" i="7"/>
  <c r="F35" i="7"/>
  <c r="E35" i="7"/>
  <c r="A35" i="7"/>
  <c r="U34" i="7"/>
  <c r="Q34" i="7"/>
  <c r="S34" i="7"/>
  <c r="P34" i="7"/>
  <c r="L34" i="7"/>
  <c r="N34" i="7"/>
  <c r="E38" i="6" s="1"/>
  <c r="K34" i="7"/>
  <c r="J34" i="7"/>
  <c r="H34" i="7"/>
  <c r="G34" i="7"/>
  <c r="F34" i="7"/>
  <c r="E34" i="7"/>
  <c r="A34" i="7"/>
  <c r="U33" i="7"/>
  <c r="Q33" i="7"/>
  <c r="S33" i="7"/>
  <c r="P33" i="7"/>
  <c r="L33" i="7"/>
  <c r="N33" i="7"/>
  <c r="K33" i="7"/>
  <c r="J33" i="7"/>
  <c r="H33" i="7"/>
  <c r="G33" i="7"/>
  <c r="F33" i="7"/>
  <c r="E33" i="7"/>
  <c r="A33" i="7"/>
  <c r="U32" i="7"/>
  <c r="Q32" i="7"/>
  <c r="S32" i="7"/>
  <c r="P32" i="7"/>
  <c r="L32" i="7"/>
  <c r="N32" i="7"/>
  <c r="K32" i="7"/>
  <c r="J32" i="7"/>
  <c r="H32" i="7"/>
  <c r="G32" i="7"/>
  <c r="F32" i="7"/>
  <c r="E32" i="7"/>
  <c r="A32" i="7"/>
  <c r="U31" i="7"/>
  <c r="Q31" i="7"/>
  <c r="S31" i="7"/>
  <c r="P31" i="7"/>
  <c r="L31" i="7"/>
  <c r="N31" i="7"/>
  <c r="E39" i="6" s="1"/>
  <c r="K31" i="7"/>
  <c r="J31" i="7"/>
  <c r="H31" i="7"/>
  <c r="G31" i="7"/>
  <c r="F31" i="7"/>
  <c r="E31" i="7"/>
  <c r="A31" i="7"/>
  <c r="U30" i="7"/>
  <c r="H30" i="7"/>
  <c r="G30" i="7"/>
  <c r="F30" i="7"/>
  <c r="E30" i="7"/>
  <c r="D30" i="7"/>
  <c r="A30" i="7"/>
  <c r="G29" i="7"/>
  <c r="A29" i="7"/>
  <c r="U28" i="7"/>
  <c r="Q28" i="7"/>
  <c r="S28" i="7"/>
  <c r="P28" i="7"/>
  <c r="L28" i="7"/>
  <c r="N28" i="7"/>
  <c r="E30" i="6" s="1"/>
  <c r="K28" i="7"/>
  <c r="J28" i="7"/>
  <c r="H28" i="7"/>
  <c r="G28" i="7"/>
  <c r="F28" i="7"/>
  <c r="E28" i="7"/>
  <c r="A28" i="7"/>
  <c r="U27" i="7"/>
  <c r="Q27" i="7"/>
  <c r="S27" i="7"/>
  <c r="P27" i="7"/>
  <c r="L27" i="7"/>
  <c r="N27" i="7"/>
  <c r="K27" i="7"/>
  <c r="J27" i="7"/>
  <c r="H27" i="7"/>
  <c r="G27" i="7"/>
  <c r="F27" i="7"/>
  <c r="E27" i="7"/>
  <c r="A27" i="7"/>
  <c r="U26" i="7"/>
  <c r="Q26" i="7"/>
  <c r="S26" i="7"/>
  <c r="P26" i="7"/>
  <c r="L26" i="7"/>
  <c r="N26" i="7"/>
  <c r="E32" i="6" s="1"/>
  <c r="K26" i="7"/>
  <c r="J26" i="7"/>
  <c r="H26" i="7"/>
  <c r="G26" i="7"/>
  <c r="F26" i="7"/>
  <c r="E26" i="7"/>
  <c r="A26" i="7"/>
  <c r="U25" i="7"/>
  <c r="Q25" i="7"/>
  <c r="S25" i="7"/>
  <c r="P25" i="7"/>
  <c r="L25" i="7"/>
  <c r="N25" i="7"/>
  <c r="E28" i="6" s="1"/>
  <c r="K25" i="7"/>
  <c r="J25" i="7"/>
  <c r="H25" i="7"/>
  <c r="G25" i="7"/>
  <c r="F25" i="7"/>
  <c r="E25" i="7"/>
  <c r="A25" i="7"/>
  <c r="U24" i="7"/>
  <c r="Q24" i="7"/>
  <c r="S24" i="7"/>
  <c r="P24" i="7"/>
  <c r="L24" i="7"/>
  <c r="N24" i="7"/>
  <c r="E29" i="6" s="1"/>
  <c r="K24" i="7"/>
  <c r="J24" i="7"/>
  <c r="H24" i="7"/>
  <c r="G24" i="7"/>
  <c r="F24" i="7"/>
  <c r="E24" i="7"/>
  <c r="A24" i="7"/>
  <c r="U23" i="7"/>
  <c r="H23" i="7"/>
  <c r="G23" i="7"/>
  <c r="F23" i="7"/>
  <c r="E23" i="7"/>
  <c r="D23" i="7"/>
  <c r="A23" i="7"/>
  <c r="G22" i="7"/>
  <c r="A22" i="7"/>
  <c r="U21" i="7"/>
  <c r="Q21" i="7"/>
  <c r="S21" i="7"/>
  <c r="P21" i="7"/>
  <c r="L21" i="7"/>
  <c r="N21" i="7"/>
  <c r="E22" i="6" s="1"/>
  <c r="K21" i="7"/>
  <c r="J21" i="7"/>
  <c r="H21" i="7"/>
  <c r="G21" i="7"/>
  <c r="F21" i="7"/>
  <c r="E21" i="7"/>
  <c r="A21" i="7"/>
  <c r="U20" i="7"/>
  <c r="Q20" i="7"/>
  <c r="S20" i="7"/>
  <c r="P20" i="7"/>
  <c r="L20" i="7"/>
  <c r="N20" i="7"/>
  <c r="E21" i="6" s="1"/>
  <c r="K20" i="7"/>
  <c r="J20" i="7"/>
  <c r="H20" i="7"/>
  <c r="G20" i="7"/>
  <c r="F20" i="7"/>
  <c r="E20" i="7"/>
  <c r="A20" i="7"/>
  <c r="U19" i="7"/>
  <c r="Q19" i="7"/>
  <c r="S19" i="7"/>
  <c r="P19" i="7"/>
  <c r="L19" i="7"/>
  <c r="N19" i="7"/>
  <c r="K19" i="7"/>
  <c r="J19" i="7"/>
  <c r="H19" i="7"/>
  <c r="G19" i="7"/>
  <c r="F19" i="7"/>
  <c r="E19" i="7"/>
  <c r="A19" i="7"/>
  <c r="U18" i="7"/>
  <c r="Q18" i="7"/>
  <c r="S18" i="7"/>
  <c r="P18" i="7"/>
  <c r="L18" i="7"/>
  <c r="N18" i="7"/>
  <c r="E20" i="6" s="1"/>
  <c r="K18" i="7"/>
  <c r="J18" i="7"/>
  <c r="H18" i="7"/>
  <c r="G18" i="7"/>
  <c r="F18" i="7"/>
  <c r="E18" i="7"/>
  <c r="A18" i="7"/>
  <c r="U17" i="7"/>
  <c r="Q17" i="7"/>
  <c r="S17" i="7"/>
  <c r="P17" i="7"/>
  <c r="L17" i="7"/>
  <c r="N17" i="7"/>
  <c r="E23" i="6" s="1"/>
  <c r="K17" i="7"/>
  <c r="J17" i="7"/>
  <c r="H17" i="7"/>
  <c r="G17" i="7"/>
  <c r="F17" i="7"/>
  <c r="E17" i="7"/>
  <c r="A17" i="7"/>
  <c r="U16" i="7"/>
  <c r="H16" i="7"/>
  <c r="G16" i="7"/>
  <c r="F16" i="7"/>
  <c r="E16" i="7"/>
  <c r="D16" i="7"/>
  <c r="A16" i="7"/>
  <c r="G15" i="7"/>
  <c r="A15" i="7"/>
  <c r="U14" i="7"/>
  <c r="H14" i="7"/>
  <c r="G14" i="7"/>
  <c r="F14" i="7"/>
  <c r="E14" i="7"/>
  <c r="D14" i="7"/>
  <c r="A14" i="7"/>
  <c r="U13" i="7"/>
  <c r="Q13" i="7"/>
  <c r="T13" i="7" s="1"/>
  <c r="S13" i="7"/>
  <c r="P13" i="7"/>
  <c r="L13" i="7"/>
  <c r="O13" i="7" s="1"/>
  <c r="F13" i="6" s="1"/>
  <c r="N13" i="7"/>
  <c r="E13" i="6" s="1"/>
  <c r="K13" i="7"/>
  <c r="J13" i="7"/>
  <c r="I13" i="7"/>
  <c r="D13" i="6" s="1"/>
  <c r="H13" i="7"/>
  <c r="G13" i="7"/>
  <c r="F13" i="7"/>
  <c r="E13" i="7"/>
  <c r="A13" i="7"/>
  <c r="U12" i="7"/>
  <c r="Q12" i="7"/>
  <c r="S12" i="7"/>
  <c r="P12" i="7"/>
  <c r="L12" i="7"/>
  <c r="N12" i="7"/>
  <c r="E12" i="6" s="1"/>
  <c r="K12" i="7"/>
  <c r="J12" i="7"/>
  <c r="H12" i="7"/>
  <c r="G12" i="7"/>
  <c r="F12" i="7"/>
  <c r="E12" i="7"/>
  <c r="A12" i="7"/>
  <c r="U11" i="7"/>
  <c r="Q11" i="7"/>
  <c r="S11" i="7"/>
  <c r="P11" i="7"/>
  <c r="L11" i="7"/>
  <c r="N11" i="7"/>
  <c r="K11" i="7"/>
  <c r="J11" i="7"/>
  <c r="H11" i="7"/>
  <c r="G11" i="7"/>
  <c r="F11" i="7"/>
  <c r="E11" i="7"/>
  <c r="A11" i="7"/>
  <c r="U10" i="7"/>
  <c r="Q10" i="7"/>
  <c r="S10" i="7"/>
  <c r="P10" i="7"/>
  <c r="L10" i="7"/>
  <c r="N10" i="7"/>
  <c r="E11" i="6" s="1"/>
  <c r="K10" i="7"/>
  <c r="J10" i="7"/>
  <c r="H10" i="7"/>
  <c r="G10" i="7"/>
  <c r="F10" i="7"/>
  <c r="E10" i="7"/>
  <c r="A10" i="7"/>
  <c r="U9" i="7"/>
  <c r="Q9" i="7"/>
  <c r="S9" i="7"/>
  <c r="P9" i="7"/>
  <c r="L9" i="7"/>
  <c r="N9" i="7"/>
  <c r="E14" i="6" s="1"/>
  <c r="K9" i="7"/>
  <c r="J9" i="7"/>
  <c r="H9" i="7"/>
  <c r="G9" i="7"/>
  <c r="F9" i="7"/>
  <c r="E9" i="7"/>
  <c r="A9" i="7"/>
  <c r="U8" i="7"/>
  <c r="H8" i="7"/>
  <c r="G8" i="7"/>
  <c r="F8" i="7"/>
  <c r="E8" i="7"/>
  <c r="D8" i="7"/>
  <c r="A8" i="7"/>
  <c r="G7" i="7"/>
  <c r="A7" i="7"/>
  <c r="G6" i="7"/>
  <c r="A6" i="7"/>
  <c r="H583" i="5"/>
  <c r="H580" i="5"/>
  <c r="C583" i="5"/>
  <c r="C580" i="5"/>
  <c r="C577" i="5"/>
  <c r="C576" i="5"/>
  <c r="C575" i="5"/>
  <c r="C572" i="5"/>
  <c r="C571" i="5"/>
  <c r="C570" i="5"/>
  <c r="H565" i="5"/>
  <c r="G565" i="5"/>
  <c r="E565" i="5"/>
  <c r="E564" i="5"/>
  <c r="E563" i="5"/>
  <c r="E562" i="5"/>
  <c r="I561" i="5"/>
  <c r="H561" i="5"/>
  <c r="G561" i="5"/>
  <c r="F561" i="5"/>
  <c r="I560" i="5"/>
  <c r="H560" i="5"/>
  <c r="G560" i="5"/>
  <c r="F560" i="5"/>
  <c r="I559" i="5"/>
  <c r="H559" i="5"/>
  <c r="G559" i="5"/>
  <c r="F559" i="5"/>
  <c r="D557" i="5"/>
  <c r="C557" i="5"/>
  <c r="B557" i="5"/>
  <c r="A557" i="5"/>
  <c r="A556" i="5"/>
  <c r="C554" i="5"/>
  <c r="C553" i="5"/>
  <c r="C552" i="5"/>
  <c r="H547" i="5"/>
  <c r="G547" i="5"/>
  <c r="E547" i="5"/>
  <c r="E546" i="5"/>
  <c r="E545" i="5"/>
  <c r="E544" i="5"/>
  <c r="I543" i="5"/>
  <c r="H543" i="5"/>
  <c r="G543" i="5"/>
  <c r="F543" i="5"/>
  <c r="I542" i="5"/>
  <c r="H542" i="5"/>
  <c r="G542" i="5"/>
  <c r="F542" i="5"/>
  <c r="I541" i="5"/>
  <c r="H541" i="5"/>
  <c r="G541" i="5"/>
  <c r="F541" i="5"/>
  <c r="I540" i="5"/>
  <c r="H540" i="5"/>
  <c r="G540" i="5"/>
  <c r="F540" i="5"/>
  <c r="D538" i="5"/>
  <c r="C538" i="5"/>
  <c r="B538" i="5"/>
  <c r="A538" i="5"/>
  <c r="A537" i="5"/>
  <c r="H532" i="5"/>
  <c r="G532" i="5"/>
  <c r="E532" i="5"/>
  <c r="E531" i="5"/>
  <c r="E530" i="5"/>
  <c r="E529" i="5"/>
  <c r="I528" i="5"/>
  <c r="H528" i="5"/>
  <c r="G528" i="5"/>
  <c r="F528" i="5"/>
  <c r="I527" i="5"/>
  <c r="H527" i="5"/>
  <c r="G527" i="5"/>
  <c r="F527" i="5"/>
  <c r="I526" i="5"/>
  <c r="H526" i="5"/>
  <c r="G526" i="5"/>
  <c r="F526" i="5"/>
  <c r="I525" i="5"/>
  <c r="H525" i="5"/>
  <c r="G525" i="5"/>
  <c r="F525" i="5"/>
  <c r="D523" i="5"/>
  <c r="C523" i="5"/>
  <c r="B523" i="5"/>
  <c r="A523" i="5"/>
  <c r="H521" i="5"/>
  <c r="G521" i="5"/>
  <c r="E521" i="5"/>
  <c r="E520" i="5"/>
  <c r="E519" i="5"/>
  <c r="E518" i="5"/>
  <c r="I517" i="5"/>
  <c r="H517" i="5"/>
  <c r="G517" i="5"/>
  <c r="F517" i="5"/>
  <c r="I516" i="5"/>
  <c r="H516" i="5"/>
  <c r="G516" i="5"/>
  <c r="F516" i="5"/>
  <c r="I515" i="5"/>
  <c r="H515" i="5"/>
  <c r="G515" i="5"/>
  <c r="F515" i="5"/>
  <c r="I514" i="5"/>
  <c r="H514" i="5"/>
  <c r="G514" i="5"/>
  <c r="F514" i="5"/>
  <c r="D512" i="5"/>
  <c r="C512" i="5"/>
  <c r="B512" i="5"/>
  <c r="A512" i="5"/>
  <c r="I510" i="5"/>
  <c r="H510" i="5"/>
  <c r="G510" i="5"/>
  <c r="F510" i="5"/>
  <c r="D510" i="5"/>
  <c r="C510" i="5"/>
  <c r="B510" i="5"/>
  <c r="A510" i="5"/>
  <c r="I508" i="5"/>
  <c r="H508" i="5"/>
  <c r="G508" i="5"/>
  <c r="F508" i="5"/>
  <c r="I507" i="5"/>
  <c r="H507" i="5"/>
  <c r="G507" i="5"/>
  <c r="F507" i="5"/>
  <c r="D505" i="5"/>
  <c r="C505" i="5"/>
  <c r="B505" i="5"/>
  <c r="A505" i="5"/>
  <c r="I503" i="5"/>
  <c r="H503" i="5"/>
  <c r="G503" i="5"/>
  <c r="F503" i="5"/>
  <c r="I502" i="5"/>
  <c r="H502" i="5"/>
  <c r="G502" i="5"/>
  <c r="F502" i="5"/>
  <c r="D501" i="5"/>
  <c r="C501" i="5"/>
  <c r="B501" i="5"/>
  <c r="A501" i="5"/>
  <c r="I499" i="5"/>
  <c r="H499" i="5"/>
  <c r="G499" i="5"/>
  <c r="F499" i="5"/>
  <c r="I498" i="5"/>
  <c r="H498" i="5"/>
  <c r="G498" i="5"/>
  <c r="F498" i="5"/>
  <c r="D497" i="5"/>
  <c r="C497" i="5"/>
  <c r="B497" i="5"/>
  <c r="A497" i="5"/>
  <c r="E495" i="5"/>
  <c r="I494" i="5"/>
  <c r="H494" i="5"/>
  <c r="G494" i="5"/>
  <c r="F494" i="5"/>
  <c r="I493" i="5"/>
  <c r="H493" i="5"/>
  <c r="G493" i="5"/>
  <c r="F493" i="5"/>
  <c r="D491" i="5"/>
  <c r="C491" i="5"/>
  <c r="B491" i="5"/>
  <c r="A491" i="5"/>
  <c r="H489" i="5"/>
  <c r="G489" i="5"/>
  <c r="E489" i="5"/>
  <c r="E488" i="5"/>
  <c r="E487" i="5"/>
  <c r="I486" i="5"/>
  <c r="H486" i="5"/>
  <c r="G486" i="5"/>
  <c r="F486" i="5"/>
  <c r="D484" i="5"/>
  <c r="C484" i="5"/>
  <c r="B484" i="5"/>
  <c r="A484" i="5"/>
  <c r="H482" i="5"/>
  <c r="G482" i="5"/>
  <c r="E482" i="5"/>
  <c r="E481" i="5"/>
  <c r="E480" i="5"/>
  <c r="I479" i="5"/>
  <c r="H479" i="5"/>
  <c r="G479" i="5"/>
  <c r="F479" i="5"/>
  <c r="D477" i="5"/>
  <c r="C477" i="5"/>
  <c r="B477" i="5"/>
  <c r="A477" i="5"/>
  <c r="AE476" i="5"/>
  <c r="A476" i="5"/>
  <c r="C474" i="5"/>
  <c r="C473" i="5"/>
  <c r="C472" i="5"/>
  <c r="H467" i="5"/>
  <c r="G467" i="5"/>
  <c r="E467" i="5"/>
  <c r="E466" i="5"/>
  <c r="E465" i="5"/>
  <c r="E464" i="5"/>
  <c r="I463" i="5"/>
  <c r="H463" i="5"/>
  <c r="F463" i="5"/>
  <c r="D463" i="5"/>
  <c r="C463" i="5"/>
  <c r="B463" i="5"/>
  <c r="A463" i="5"/>
  <c r="I462" i="5"/>
  <c r="H462" i="5"/>
  <c r="G462" i="5"/>
  <c r="F462" i="5"/>
  <c r="I461" i="5"/>
  <c r="H461" i="5"/>
  <c r="G461" i="5"/>
  <c r="F461" i="5"/>
  <c r="I460" i="5"/>
  <c r="H460" i="5"/>
  <c r="G460" i="5"/>
  <c r="F460" i="5"/>
  <c r="I459" i="5"/>
  <c r="H459" i="5"/>
  <c r="G459" i="5"/>
  <c r="F459" i="5"/>
  <c r="D457" i="5"/>
  <c r="C457" i="5"/>
  <c r="B457" i="5"/>
  <c r="A457" i="5"/>
  <c r="H455" i="5"/>
  <c r="G455" i="5"/>
  <c r="E455" i="5"/>
  <c r="E454" i="5"/>
  <c r="E453" i="5"/>
  <c r="E452" i="5"/>
  <c r="I451" i="5"/>
  <c r="H451" i="5"/>
  <c r="G451" i="5"/>
  <c r="F451" i="5"/>
  <c r="I450" i="5"/>
  <c r="H450" i="5"/>
  <c r="G450" i="5"/>
  <c r="F450" i="5"/>
  <c r="I449" i="5"/>
  <c r="H449" i="5"/>
  <c r="G449" i="5"/>
  <c r="F449" i="5"/>
  <c r="I448" i="5"/>
  <c r="H448" i="5"/>
  <c r="G448" i="5"/>
  <c r="F448" i="5"/>
  <c r="D446" i="5"/>
  <c r="C446" i="5"/>
  <c r="B446" i="5"/>
  <c r="A446" i="5"/>
  <c r="H444" i="5"/>
  <c r="G444" i="5"/>
  <c r="E444" i="5"/>
  <c r="E443" i="5"/>
  <c r="E442" i="5"/>
  <c r="E441" i="5"/>
  <c r="I440" i="5"/>
  <c r="H440" i="5"/>
  <c r="G440" i="5"/>
  <c r="F440" i="5"/>
  <c r="I439" i="5"/>
  <c r="H439" i="5"/>
  <c r="G439" i="5"/>
  <c r="F439" i="5"/>
  <c r="I438" i="5"/>
  <c r="H438" i="5"/>
  <c r="G438" i="5"/>
  <c r="F438" i="5"/>
  <c r="I437" i="5"/>
  <c r="H437" i="5"/>
  <c r="G437" i="5"/>
  <c r="F437" i="5"/>
  <c r="D435" i="5"/>
  <c r="C435" i="5"/>
  <c r="B435" i="5"/>
  <c r="A435" i="5"/>
  <c r="I432" i="5"/>
  <c r="H432" i="5"/>
  <c r="G432" i="5"/>
  <c r="F432" i="5"/>
  <c r="D432" i="5"/>
  <c r="C432" i="5"/>
  <c r="B432" i="5"/>
  <c r="A432" i="5"/>
  <c r="I430" i="5"/>
  <c r="H430" i="5"/>
  <c r="G430" i="5"/>
  <c r="F430" i="5"/>
  <c r="I429" i="5"/>
  <c r="H429" i="5"/>
  <c r="G429" i="5"/>
  <c r="F429" i="5"/>
  <c r="D428" i="5"/>
  <c r="C428" i="5"/>
  <c r="B428" i="5"/>
  <c r="A428" i="5"/>
  <c r="I426" i="5"/>
  <c r="H426" i="5"/>
  <c r="G426" i="5"/>
  <c r="F426" i="5"/>
  <c r="I425" i="5"/>
  <c r="H425" i="5"/>
  <c r="G425" i="5"/>
  <c r="F425" i="5"/>
  <c r="D423" i="5"/>
  <c r="C423" i="5"/>
  <c r="B423" i="5"/>
  <c r="A423" i="5"/>
  <c r="H421" i="5"/>
  <c r="G421" i="5"/>
  <c r="E421" i="5"/>
  <c r="E420" i="5"/>
  <c r="E419" i="5"/>
  <c r="I418" i="5"/>
  <c r="H418" i="5"/>
  <c r="G418" i="5"/>
  <c r="F418" i="5"/>
  <c r="D416" i="5"/>
  <c r="C416" i="5"/>
  <c r="B416" i="5"/>
  <c r="A416" i="5"/>
  <c r="H414" i="5"/>
  <c r="G414" i="5"/>
  <c r="E414" i="5"/>
  <c r="E413" i="5"/>
  <c r="E412" i="5"/>
  <c r="I411" i="5"/>
  <c r="H411" i="5"/>
  <c r="G411" i="5"/>
  <c r="F411" i="5"/>
  <c r="D409" i="5"/>
  <c r="C409" i="5"/>
  <c r="B409" i="5"/>
  <c r="A409" i="5"/>
  <c r="H407" i="5"/>
  <c r="G407" i="5"/>
  <c r="E407" i="5"/>
  <c r="E406" i="5"/>
  <c r="E405" i="5"/>
  <c r="E404" i="5"/>
  <c r="I403" i="5"/>
  <c r="H403" i="5"/>
  <c r="G403" i="5"/>
  <c r="F403" i="5"/>
  <c r="I402" i="5"/>
  <c r="H402" i="5"/>
  <c r="G402" i="5"/>
  <c r="F402" i="5"/>
  <c r="I401" i="5"/>
  <c r="H401" i="5"/>
  <c r="G401" i="5"/>
  <c r="F401" i="5"/>
  <c r="D399" i="5"/>
  <c r="C399" i="5"/>
  <c r="B399" i="5"/>
  <c r="A399" i="5"/>
  <c r="A398" i="5"/>
  <c r="C396" i="5"/>
  <c r="C395" i="5"/>
  <c r="C394" i="5"/>
  <c r="H389" i="5"/>
  <c r="G389" i="5"/>
  <c r="E389" i="5"/>
  <c r="E388" i="5"/>
  <c r="E387" i="5"/>
  <c r="E386" i="5"/>
  <c r="I385" i="5"/>
  <c r="H385" i="5"/>
  <c r="F385" i="5"/>
  <c r="D385" i="5"/>
  <c r="C385" i="5"/>
  <c r="B385" i="5"/>
  <c r="A385" i="5"/>
  <c r="I384" i="5"/>
  <c r="H384" i="5"/>
  <c r="F384" i="5"/>
  <c r="D384" i="5"/>
  <c r="C384" i="5"/>
  <c r="B384" i="5"/>
  <c r="A384" i="5"/>
  <c r="I383" i="5"/>
  <c r="H383" i="5"/>
  <c r="F383" i="5"/>
  <c r="D383" i="5"/>
  <c r="C383" i="5"/>
  <c r="B383" i="5"/>
  <c r="A383" i="5"/>
  <c r="I382" i="5"/>
  <c r="H382" i="5"/>
  <c r="G382" i="5"/>
  <c r="F382" i="5"/>
  <c r="I381" i="5"/>
  <c r="H381" i="5"/>
  <c r="G381" i="5"/>
  <c r="F381" i="5"/>
  <c r="I380" i="5"/>
  <c r="H380" i="5"/>
  <c r="G380" i="5"/>
  <c r="F380" i="5"/>
  <c r="I379" i="5"/>
  <c r="H379" i="5"/>
  <c r="G379" i="5"/>
  <c r="F379" i="5"/>
  <c r="C378" i="5"/>
  <c r="E377" i="5"/>
  <c r="D377" i="5"/>
  <c r="C377" i="5"/>
  <c r="B377" i="5"/>
  <c r="A377" i="5"/>
  <c r="AE376" i="5"/>
  <c r="A376" i="5"/>
  <c r="AF370" i="5"/>
  <c r="A370" i="5"/>
  <c r="K367" i="5"/>
  <c r="H367" i="5"/>
  <c r="G367" i="5"/>
  <c r="E367" i="5"/>
  <c r="E366" i="5"/>
  <c r="E365" i="5"/>
  <c r="E364" i="5"/>
  <c r="J363" i="5"/>
  <c r="I363" i="5"/>
  <c r="H363" i="5"/>
  <c r="F363" i="5"/>
  <c r="V363" i="5"/>
  <c r="T363" i="5"/>
  <c r="R363" i="5"/>
  <c r="U363" i="5"/>
  <c r="S363" i="5"/>
  <c r="Q363" i="5"/>
  <c r="E363" i="5"/>
  <c r="D363" i="5"/>
  <c r="C363" i="5"/>
  <c r="B363" i="5"/>
  <c r="A363" i="5"/>
  <c r="J362" i="5"/>
  <c r="I362" i="5"/>
  <c r="H362" i="5"/>
  <c r="G362" i="5"/>
  <c r="F362" i="5"/>
  <c r="J361" i="5"/>
  <c r="I361" i="5"/>
  <c r="H361" i="5"/>
  <c r="G361" i="5"/>
  <c r="F361" i="5"/>
  <c r="J360" i="5"/>
  <c r="I360" i="5"/>
  <c r="H360" i="5"/>
  <c r="G360" i="5"/>
  <c r="F360" i="5"/>
  <c r="J359" i="5"/>
  <c r="I359" i="5"/>
  <c r="H359" i="5"/>
  <c r="G359" i="5"/>
  <c r="F359" i="5"/>
  <c r="C358" i="5"/>
  <c r="V357" i="5"/>
  <c r="J366" i="5" s="1"/>
  <c r="T357" i="5"/>
  <c r="J365" i="5" s="1"/>
  <c r="R357" i="5"/>
  <c r="J364" i="5" s="1"/>
  <c r="U357" i="5"/>
  <c r="S357" i="5"/>
  <c r="Q357" i="5"/>
  <c r="E357" i="5"/>
  <c r="D357" i="5"/>
  <c r="C357" i="5"/>
  <c r="B357" i="5"/>
  <c r="A357" i="5"/>
  <c r="K355" i="5"/>
  <c r="H355" i="5"/>
  <c r="G355" i="5"/>
  <c r="E355" i="5"/>
  <c r="E354" i="5"/>
  <c r="E353" i="5"/>
  <c r="J352" i="5"/>
  <c r="I352" i="5"/>
  <c r="H352" i="5"/>
  <c r="G352" i="5"/>
  <c r="F352" i="5"/>
  <c r="J351" i="5"/>
  <c r="I351" i="5"/>
  <c r="H351" i="5"/>
  <c r="G351" i="5"/>
  <c r="F351" i="5"/>
  <c r="C350" i="5"/>
  <c r="V349" i="5"/>
  <c r="T349" i="5"/>
  <c r="J354" i="5" s="1"/>
  <c r="R349" i="5"/>
  <c r="J353" i="5" s="1"/>
  <c r="U349" i="5"/>
  <c r="S349" i="5"/>
  <c r="Q349" i="5"/>
  <c r="E349" i="5"/>
  <c r="D349" i="5"/>
  <c r="C349" i="5"/>
  <c r="B349" i="5"/>
  <c r="A349" i="5"/>
  <c r="K347" i="5"/>
  <c r="H347" i="5"/>
  <c r="G347" i="5"/>
  <c r="E347" i="5"/>
  <c r="E346" i="5"/>
  <c r="E345" i="5"/>
  <c r="E344" i="5"/>
  <c r="J343" i="5"/>
  <c r="I343" i="5"/>
  <c r="H343" i="5"/>
  <c r="G343" i="5"/>
  <c r="F343" i="5"/>
  <c r="J342" i="5"/>
  <c r="I342" i="5"/>
  <c r="H342" i="5"/>
  <c r="G342" i="5"/>
  <c r="F342" i="5"/>
  <c r="J341" i="5"/>
  <c r="I341" i="5"/>
  <c r="H341" i="5"/>
  <c r="G341" i="5"/>
  <c r="F341" i="5"/>
  <c r="J340" i="5"/>
  <c r="I340" i="5"/>
  <c r="H340" i="5"/>
  <c r="G340" i="5"/>
  <c r="F340" i="5"/>
  <c r="C339" i="5"/>
  <c r="V338" i="5"/>
  <c r="J346" i="5" s="1"/>
  <c r="T338" i="5"/>
  <c r="J345" i="5" s="1"/>
  <c r="R338" i="5"/>
  <c r="J344" i="5" s="1"/>
  <c r="U338" i="5"/>
  <c r="S338" i="5"/>
  <c r="Q338" i="5"/>
  <c r="E338" i="5"/>
  <c r="D338" i="5"/>
  <c r="C338" i="5"/>
  <c r="B338" i="5"/>
  <c r="A338" i="5"/>
  <c r="A337" i="5"/>
  <c r="C335" i="5"/>
  <c r="C334" i="5"/>
  <c r="C333" i="5"/>
  <c r="H328" i="5"/>
  <c r="G328" i="5"/>
  <c r="E328" i="5"/>
  <c r="E327" i="5"/>
  <c r="E326" i="5"/>
  <c r="I325" i="5"/>
  <c r="H325" i="5"/>
  <c r="G325" i="5"/>
  <c r="F325" i="5"/>
  <c r="I324" i="5"/>
  <c r="H324" i="5"/>
  <c r="G324" i="5"/>
  <c r="F324" i="5"/>
  <c r="D322" i="5"/>
  <c r="C322" i="5"/>
  <c r="B322" i="5"/>
  <c r="A322" i="5"/>
  <c r="H320" i="5"/>
  <c r="G320" i="5"/>
  <c r="E320" i="5"/>
  <c r="E319" i="5"/>
  <c r="E318" i="5"/>
  <c r="I317" i="5"/>
  <c r="H317" i="5"/>
  <c r="G317" i="5"/>
  <c r="F317" i="5"/>
  <c r="I316" i="5"/>
  <c r="H316" i="5"/>
  <c r="G316" i="5"/>
  <c r="F316" i="5"/>
  <c r="D314" i="5"/>
  <c r="C314" i="5"/>
  <c r="B314" i="5"/>
  <c r="A314" i="5"/>
  <c r="H312" i="5"/>
  <c r="G312" i="5"/>
  <c r="E312" i="5"/>
  <c r="E311" i="5"/>
  <c r="E310" i="5"/>
  <c r="I309" i="5"/>
  <c r="H309" i="5"/>
  <c r="G309" i="5"/>
  <c r="F309" i="5"/>
  <c r="I308" i="5"/>
  <c r="H308" i="5"/>
  <c r="G308" i="5"/>
  <c r="F308" i="5"/>
  <c r="D306" i="5"/>
  <c r="C306" i="5"/>
  <c r="B306" i="5"/>
  <c r="A306" i="5"/>
  <c r="H304" i="5"/>
  <c r="G304" i="5"/>
  <c r="E304" i="5"/>
  <c r="E303" i="5"/>
  <c r="E302" i="5"/>
  <c r="E301" i="5"/>
  <c r="I300" i="5"/>
  <c r="H300" i="5"/>
  <c r="G300" i="5"/>
  <c r="F300" i="5"/>
  <c r="I299" i="5"/>
  <c r="H299" i="5"/>
  <c r="G299" i="5"/>
  <c r="F299" i="5"/>
  <c r="I298" i="5"/>
  <c r="H298" i="5"/>
  <c r="G298" i="5"/>
  <c r="F298" i="5"/>
  <c r="I297" i="5"/>
  <c r="H297" i="5"/>
  <c r="G297" i="5"/>
  <c r="F297" i="5"/>
  <c r="D295" i="5"/>
  <c r="C295" i="5"/>
  <c r="B295" i="5"/>
  <c r="A295" i="5"/>
  <c r="I292" i="5"/>
  <c r="H292" i="5"/>
  <c r="G292" i="5"/>
  <c r="F292" i="5"/>
  <c r="D292" i="5"/>
  <c r="C292" i="5"/>
  <c r="B292" i="5"/>
  <c r="A292" i="5"/>
  <c r="I290" i="5"/>
  <c r="H290" i="5"/>
  <c r="G290" i="5"/>
  <c r="F290" i="5"/>
  <c r="I289" i="5"/>
  <c r="H289" i="5"/>
  <c r="G289" i="5"/>
  <c r="F289" i="5"/>
  <c r="D288" i="5"/>
  <c r="C288" i="5"/>
  <c r="B288" i="5"/>
  <c r="A288" i="5"/>
  <c r="I286" i="5"/>
  <c r="H286" i="5"/>
  <c r="G286" i="5"/>
  <c r="F286" i="5"/>
  <c r="I285" i="5"/>
  <c r="H285" i="5"/>
  <c r="G285" i="5"/>
  <c r="F285" i="5"/>
  <c r="D283" i="5"/>
  <c r="C283" i="5"/>
  <c r="B283" i="5"/>
  <c r="A283" i="5"/>
  <c r="H281" i="5"/>
  <c r="G281" i="5"/>
  <c r="E281" i="5"/>
  <c r="E280" i="5"/>
  <c r="E279" i="5"/>
  <c r="I278" i="5"/>
  <c r="H278" i="5"/>
  <c r="G278" i="5"/>
  <c r="F278" i="5"/>
  <c r="D276" i="5"/>
  <c r="C276" i="5"/>
  <c r="B276" i="5"/>
  <c r="A276" i="5"/>
  <c r="H274" i="5"/>
  <c r="G274" i="5"/>
  <c r="E274" i="5"/>
  <c r="E273" i="5"/>
  <c r="E272" i="5"/>
  <c r="E271" i="5"/>
  <c r="I270" i="5"/>
  <c r="H270" i="5"/>
  <c r="G270" i="5"/>
  <c r="F270" i="5"/>
  <c r="I269" i="5"/>
  <c r="H269" i="5"/>
  <c r="G269" i="5"/>
  <c r="F269" i="5"/>
  <c r="I268" i="5"/>
  <c r="H268" i="5"/>
  <c r="G268" i="5"/>
  <c r="F268" i="5"/>
  <c r="D266" i="5"/>
  <c r="C266" i="5"/>
  <c r="B266" i="5"/>
  <c r="A266" i="5"/>
  <c r="H264" i="5"/>
  <c r="G264" i="5"/>
  <c r="E264" i="5"/>
  <c r="E263" i="5"/>
  <c r="E262" i="5"/>
  <c r="E261" i="5"/>
  <c r="I260" i="5"/>
  <c r="H260" i="5"/>
  <c r="G260" i="5"/>
  <c r="F260" i="5"/>
  <c r="I259" i="5"/>
  <c r="H259" i="5"/>
  <c r="G259" i="5"/>
  <c r="F259" i="5"/>
  <c r="I258" i="5"/>
  <c r="H258" i="5"/>
  <c r="G258" i="5"/>
  <c r="F258" i="5"/>
  <c r="D256" i="5"/>
  <c r="C256" i="5"/>
  <c r="B256" i="5"/>
  <c r="A256" i="5"/>
  <c r="A255" i="5"/>
  <c r="C253" i="5"/>
  <c r="C252" i="5"/>
  <c r="C251" i="5"/>
  <c r="H246" i="5"/>
  <c r="G246" i="5"/>
  <c r="E246" i="5"/>
  <c r="E245" i="5"/>
  <c r="E244" i="5"/>
  <c r="E243" i="5"/>
  <c r="I242" i="5"/>
  <c r="H242" i="5"/>
  <c r="G242" i="5"/>
  <c r="F242" i="5"/>
  <c r="I241" i="5"/>
  <c r="H241" i="5"/>
  <c r="G241" i="5"/>
  <c r="F241" i="5"/>
  <c r="I240" i="5"/>
  <c r="H240" i="5"/>
  <c r="G240" i="5"/>
  <c r="F240" i="5"/>
  <c r="I239" i="5"/>
  <c r="H239" i="5"/>
  <c r="G239" i="5"/>
  <c r="F239" i="5"/>
  <c r="D237" i="5"/>
  <c r="C237" i="5"/>
  <c r="B237" i="5"/>
  <c r="A237" i="5"/>
  <c r="H235" i="5"/>
  <c r="G235" i="5"/>
  <c r="E235" i="5"/>
  <c r="E234" i="5"/>
  <c r="E233" i="5"/>
  <c r="E232" i="5"/>
  <c r="I231" i="5"/>
  <c r="H231" i="5"/>
  <c r="G231" i="5"/>
  <c r="F231" i="5"/>
  <c r="I230" i="5"/>
  <c r="H230" i="5"/>
  <c r="G230" i="5"/>
  <c r="F230" i="5"/>
  <c r="I229" i="5"/>
  <c r="H229" i="5"/>
  <c r="G229" i="5"/>
  <c r="F229" i="5"/>
  <c r="I228" i="5"/>
  <c r="H228" i="5"/>
  <c r="G228" i="5"/>
  <c r="F228" i="5"/>
  <c r="D226" i="5"/>
  <c r="C226" i="5"/>
  <c r="B226" i="5"/>
  <c r="A226" i="5"/>
  <c r="I224" i="5"/>
  <c r="H224" i="5"/>
  <c r="G224" i="5"/>
  <c r="F224" i="5"/>
  <c r="D224" i="5"/>
  <c r="C224" i="5"/>
  <c r="B224" i="5"/>
  <c r="A224" i="5"/>
  <c r="I222" i="5"/>
  <c r="H222" i="5"/>
  <c r="G222" i="5"/>
  <c r="F222" i="5"/>
  <c r="I221" i="5"/>
  <c r="H221" i="5"/>
  <c r="G221" i="5"/>
  <c r="F221" i="5"/>
  <c r="D219" i="5"/>
  <c r="C219" i="5"/>
  <c r="B219" i="5"/>
  <c r="A219" i="5"/>
  <c r="I217" i="5"/>
  <c r="H217" i="5"/>
  <c r="G217" i="5"/>
  <c r="F217" i="5"/>
  <c r="I216" i="5"/>
  <c r="H216" i="5"/>
  <c r="G216" i="5"/>
  <c r="F216" i="5"/>
  <c r="D215" i="5"/>
  <c r="C215" i="5"/>
  <c r="B215" i="5"/>
  <c r="A215" i="5"/>
  <c r="I213" i="5"/>
  <c r="H213" i="5"/>
  <c r="G213" i="5"/>
  <c r="F213" i="5"/>
  <c r="I212" i="5"/>
  <c r="H212" i="5"/>
  <c r="G212" i="5"/>
  <c r="F212" i="5"/>
  <c r="D211" i="5"/>
  <c r="C211" i="5"/>
  <c r="B211" i="5"/>
  <c r="A211" i="5"/>
  <c r="E209" i="5"/>
  <c r="I208" i="5"/>
  <c r="H208" i="5"/>
  <c r="G208" i="5"/>
  <c r="F208" i="5"/>
  <c r="I207" i="5"/>
  <c r="H207" i="5"/>
  <c r="G207" i="5"/>
  <c r="F207" i="5"/>
  <c r="D205" i="5"/>
  <c r="C205" i="5"/>
  <c r="B205" i="5"/>
  <c r="A205" i="5"/>
  <c r="H203" i="5"/>
  <c r="G203" i="5"/>
  <c r="E203" i="5"/>
  <c r="E202" i="5"/>
  <c r="E201" i="5"/>
  <c r="I200" i="5"/>
  <c r="H200" i="5"/>
  <c r="G200" i="5"/>
  <c r="F200" i="5"/>
  <c r="D198" i="5"/>
  <c r="C198" i="5"/>
  <c r="B198" i="5"/>
  <c r="A198" i="5"/>
  <c r="H196" i="5"/>
  <c r="G196" i="5"/>
  <c r="E196" i="5"/>
  <c r="E195" i="5"/>
  <c r="E194" i="5"/>
  <c r="I193" i="5"/>
  <c r="H193" i="5"/>
  <c r="G193" i="5"/>
  <c r="F193" i="5"/>
  <c r="D191" i="5"/>
  <c r="C191" i="5"/>
  <c r="B191" i="5"/>
  <c r="A191" i="5"/>
  <c r="AE190" i="5"/>
  <c r="A190" i="5"/>
  <c r="C188" i="5"/>
  <c r="C187" i="5"/>
  <c r="C186" i="5"/>
  <c r="H181" i="5"/>
  <c r="G181" i="5"/>
  <c r="E181" i="5"/>
  <c r="E180" i="5"/>
  <c r="E179" i="5"/>
  <c r="E178" i="5"/>
  <c r="I177" i="5"/>
  <c r="H177" i="5"/>
  <c r="F177" i="5"/>
  <c r="D177" i="5"/>
  <c r="C177" i="5"/>
  <c r="B177" i="5"/>
  <c r="A177" i="5"/>
  <c r="I176" i="5"/>
  <c r="H176" i="5"/>
  <c r="F176" i="5"/>
  <c r="D176" i="5"/>
  <c r="C176" i="5"/>
  <c r="B176" i="5"/>
  <c r="A176" i="5"/>
  <c r="I175" i="5"/>
  <c r="H175" i="5"/>
  <c r="G175" i="5"/>
  <c r="F175" i="5"/>
  <c r="I174" i="5"/>
  <c r="H174" i="5"/>
  <c r="G174" i="5"/>
  <c r="F174" i="5"/>
  <c r="I173" i="5"/>
  <c r="H173" i="5"/>
  <c r="G173" i="5"/>
  <c r="F173" i="5"/>
  <c r="I172" i="5"/>
  <c r="H172" i="5"/>
  <c r="G172" i="5"/>
  <c r="F172" i="5"/>
  <c r="D170" i="5"/>
  <c r="C170" i="5"/>
  <c r="B170" i="5"/>
  <c r="A170" i="5"/>
  <c r="H168" i="5"/>
  <c r="G168" i="5"/>
  <c r="E168" i="5"/>
  <c r="E167" i="5"/>
  <c r="E166" i="5"/>
  <c r="E165" i="5"/>
  <c r="I164" i="5"/>
  <c r="H164" i="5"/>
  <c r="G164" i="5"/>
  <c r="F164" i="5"/>
  <c r="I163" i="5"/>
  <c r="H163" i="5"/>
  <c r="G163" i="5"/>
  <c r="F163" i="5"/>
  <c r="I162" i="5"/>
  <c r="H162" i="5"/>
  <c r="G162" i="5"/>
  <c r="F162" i="5"/>
  <c r="I161" i="5"/>
  <c r="H161" i="5"/>
  <c r="G161" i="5"/>
  <c r="F161" i="5"/>
  <c r="D159" i="5"/>
  <c r="C159" i="5"/>
  <c r="B159" i="5"/>
  <c r="A159" i="5"/>
  <c r="H157" i="5"/>
  <c r="G157" i="5"/>
  <c r="E157" i="5"/>
  <c r="E156" i="5"/>
  <c r="E155" i="5"/>
  <c r="E154" i="5"/>
  <c r="I153" i="5"/>
  <c r="H153" i="5"/>
  <c r="G153" i="5"/>
  <c r="F153" i="5"/>
  <c r="I152" i="5"/>
  <c r="H152" i="5"/>
  <c r="G152" i="5"/>
  <c r="F152" i="5"/>
  <c r="I151" i="5"/>
  <c r="H151" i="5"/>
  <c r="G151" i="5"/>
  <c r="F151" i="5"/>
  <c r="I150" i="5"/>
  <c r="H150" i="5"/>
  <c r="G150" i="5"/>
  <c r="F150" i="5"/>
  <c r="D148" i="5"/>
  <c r="C148" i="5"/>
  <c r="B148" i="5"/>
  <c r="A148" i="5"/>
  <c r="I145" i="5"/>
  <c r="H145" i="5"/>
  <c r="G145" i="5"/>
  <c r="F145" i="5"/>
  <c r="D145" i="5"/>
  <c r="C145" i="5"/>
  <c r="B145" i="5"/>
  <c r="A145" i="5"/>
  <c r="I143" i="5"/>
  <c r="H143" i="5"/>
  <c r="G143" i="5"/>
  <c r="F143" i="5"/>
  <c r="I142" i="5"/>
  <c r="H142" i="5"/>
  <c r="G142" i="5"/>
  <c r="F142" i="5"/>
  <c r="D141" i="5"/>
  <c r="C141" i="5"/>
  <c r="B141" i="5"/>
  <c r="A141" i="5"/>
  <c r="I139" i="5"/>
  <c r="H139" i="5"/>
  <c r="G139" i="5"/>
  <c r="F139" i="5"/>
  <c r="I138" i="5"/>
  <c r="H138" i="5"/>
  <c r="G138" i="5"/>
  <c r="F138" i="5"/>
  <c r="D136" i="5"/>
  <c r="C136" i="5"/>
  <c r="B136" i="5"/>
  <c r="A136" i="5"/>
  <c r="H134" i="5"/>
  <c r="G134" i="5"/>
  <c r="E134" i="5"/>
  <c r="E133" i="5"/>
  <c r="E132" i="5"/>
  <c r="I131" i="5"/>
  <c r="H131" i="5"/>
  <c r="G131" i="5"/>
  <c r="F131" i="5"/>
  <c r="D129" i="5"/>
  <c r="C129" i="5"/>
  <c r="B129" i="5"/>
  <c r="A129" i="5"/>
  <c r="H127" i="5"/>
  <c r="G127" i="5"/>
  <c r="E127" i="5"/>
  <c r="E126" i="5"/>
  <c r="E125" i="5"/>
  <c r="I124" i="5"/>
  <c r="H124" i="5"/>
  <c r="G124" i="5"/>
  <c r="F124" i="5"/>
  <c r="D122" i="5"/>
  <c r="C122" i="5"/>
  <c r="B122" i="5"/>
  <c r="A122" i="5"/>
  <c r="H120" i="5"/>
  <c r="G120" i="5"/>
  <c r="E120" i="5"/>
  <c r="E119" i="5"/>
  <c r="E118" i="5"/>
  <c r="E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D112" i="5"/>
  <c r="C112" i="5"/>
  <c r="B112" i="5"/>
  <c r="A112" i="5"/>
  <c r="AE111" i="5"/>
  <c r="A111" i="5"/>
  <c r="C109" i="5"/>
  <c r="C108" i="5"/>
  <c r="C107" i="5"/>
  <c r="H102" i="5"/>
  <c r="G102" i="5"/>
  <c r="E102" i="5"/>
  <c r="E101" i="5"/>
  <c r="E100" i="5"/>
  <c r="E99" i="5"/>
  <c r="I98" i="5"/>
  <c r="H98" i="5"/>
  <c r="F98" i="5"/>
  <c r="D98" i="5"/>
  <c r="C98" i="5"/>
  <c r="B98" i="5"/>
  <c r="A98" i="5"/>
  <c r="I97" i="5"/>
  <c r="H97" i="5"/>
  <c r="F97" i="5"/>
  <c r="D97" i="5"/>
  <c r="C97" i="5"/>
  <c r="B97" i="5"/>
  <c r="A97" i="5"/>
  <c r="I96" i="5"/>
  <c r="H96" i="5"/>
  <c r="G96" i="5"/>
  <c r="F96" i="5"/>
  <c r="I95" i="5"/>
  <c r="H95" i="5"/>
  <c r="G95" i="5"/>
  <c r="F95" i="5"/>
  <c r="I94" i="5"/>
  <c r="H94" i="5"/>
  <c r="G94" i="5"/>
  <c r="F94" i="5"/>
  <c r="I93" i="5"/>
  <c r="H93" i="5"/>
  <c r="G93" i="5"/>
  <c r="F93" i="5"/>
  <c r="E92" i="5"/>
  <c r="D92" i="5"/>
  <c r="C92" i="5"/>
  <c r="B92" i="5"/>
  <c r="A92" i="5"/>
  <c r="H90" i="5"/>
  <c r="G90" i="5"/>
  <c r="E90" i="5"/>
  <c r="E89" i="5"/>
  <c r="E88" i="5"/>
  <c r="E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D81" i="5"/>
  <c r="C81" i="5"/>
  <c r="B81" i="5"/>
  <c r="A81" i="5"/>
  <c r="H79" i="5"/>
  <c r="G79" i="5"/>
  <c r="E79" i="5"/>
  <c r="E78" i="5"/>
  <c r="E77" i="5"/>
  <c r="E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D70" i="5"/>
  <c r="C70" i="5"/>
  <c r="B70" i="5"/>
  <c r="A70" i="5"/>
  <c r="I67" i="5"/>
  <c r="H67" i="5"/>
  <c r="G67" i="5"/>
  <c r="F67" i="5"/>
  <c r="D67" i="5"/>
  <c r="C67" i="5"/>
  <c r="B67" i="5"/>
  <c r="A67" i="5"/>
  <c r="I65" i="5"/>
  <c r="H65" i="5"/>
  <c r="G65" i="5"/>
  <c r="F65" i="5"/>
  <c r="I64" i="5"/>
  <c r="H64" i="5"/>
  <c r="G64" i="5"/>
  <c r="F64" i="5"/>
  <c r="D62" i="5"/>
  <c r="C62" i="5"/>
  <c r="B62" i="5"/>
  <c r="A62" i="5"/>
  <c r="I60" i="5"/>
  <c r="H60" i="5"/>
  <c r="G60" i="5"/>
  <c r="F60" i="5"/>
  <c r="I59" i="5"/>
  <c r="H59" i="5"/>
  <c r="G59" i="5"/>
  <c r="F59" i="5"/>
  <c r="D57" i="5"/>
  <c r="C57" i="5"/>
  <c r="B57" i="5"/>
  <c r="A57" i="5"/>
  <c r="H55" i="5"/>
  <c r="G55" i="5"/>
  <c r="E55" i="5"/>
  <c r="E54" i="5"/>
  <c r="E53" i="5"/>
  <c r="I52" i="5"/>
  <c r="H52" i="5"/>
  <c r="G52" i="5"/>
  <c r="F52" i="5"/>
  <c r="D50" i="5"/>
  <c r="C50" i="5"/>
  <c r="B50" i="5"/>
  <c r="A50" i="5"/>
  <c r="H48" i="5"/>
  <c r="G48" i="5"/>
  <c r="E48" i="5"/>
  <c r="E47" i="5"/>
  <c r="E46" i="5"/>
  <c r="I45" i="5"/>
  <c r="H45" i="5"/>
  <c r="G45" i="5"/>
  <c r="F45" i="5"/>
  <c r="D43" i="5"/>
  <c r="C43" i="5"/>
  <c r="B43" i="5"/>
  <c r="A43" i="5"/>
  <c r="H41" i="5"/>
  <c r="G41" i="5"/>
  <c r="E41" i="5"/>
  <c r="E40" i="5"/>
  <c r="E39" i="5"/>
  <c r="E38" i="5"/>
  <c r="I37" i="5"/>
  <c r="H37" i="5"/>
  <c r="G37" i="5"/>
  <c r="F37" i="5"/>
  <c r="I36" i="5"/>
  <c r="H36" i="5"/>
  <c r="G36" i="5"/>
  <c r="F36" i="5"/>
  <c r="I35" i="5"/>
  <c r="H35" i="5"/>
  <c r="G35" i="5"/>
  <c r="F35" i="5"/>
  <c r="D33" i="5"/>
  <c r="C33" i="5"/>
  <c r="B33" i="5"/>
  <c r="A33" i="5"/>
  <c r="A32" i="5"/>
  <c r="A18" i="5"/>
  <c r="A15" i="5"/>
  <c r="A10" i="5"/>
  <c r="B6" i="5"/>
  <c r="A1" i="5"/>
  <c r="R13" i="7" l="1"/>
  <c r="R42" i="7"/>
  <c r="M49" i="7"/>
  <c r="M40" i="7"/>
  <c r="M42" i="7"/>
  <c r="M44" i="7"/>
  <c r="M47" i="7"/>
  <c r="M38" i="7"/>
  <c r="R45" i="7"/>
  <c r="T45" i="7"/>
  <c r="T48" i="7"/>
  <c r="T40" i="7"/>
  <c r="R40" i="7"/>
  <c r="T44" i="7"/>
  <c r="R44" i="7"/>
  <c r="T49" i="7"/>
  <c r="R49" i="7"/>
  <c r="M39" i="7"/>
  <c r="M43" i="7"/>
  <c r="M48" i="7"/>
  <c r="R38" i="7"/>
  <c r="M13" i="7"/>
  <c r="M37" i="7"/>
  <c r="M41" i="7"/>
  <c r="O45" i="7"/>
  <c r="F47" i="6" s="1"/>
  <c r="E51" i="6" s="1"/>
  <c r="I348" i="5"/>
  <c r="P348" i="5" s="1"/>
  <c r="I356" i="5"/>
  <c r="I368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" i="3"/>
  <c r="CY1" i="3"/>
  <c r="CZ1" i="3"/>
  <c r="DA1" i="3"/>
  <c r="DB1" i="3"/>
  <c r="DC1" i="3"/>
  <c r="A2" i="3"/>
  <c r="CY2" i="3"/>
  <c r="CZ2" i="3"/>
  <c r="DA2" i="3"/>
  <c r="DB2" i="3"/>
  <c r="DC2" i="3"/>
  <c r="A3" i="3"/>
  <c r="CY3" i="3"/>
  <c r="CZ3" i="3"/>
  <c r="DA3" i="3"/>
  <c r="DB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Y7" i="3"/>
  <c r="CZ7" i="3"/>
  <c r="DA7" i="3"/>
  <c r="DB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A12" i="3"/>
  <c r="DB12" i="3"/>
  <c r="DC12" i="3"/>
  <c r="A13" i="3"/>
  <c r="CY13" i="3"/>
  <c r="CZ13" i="3"/>
  <c r="DA13" i="3"/>
  <c r="DB13" i="3"/>
  <c r="DC13" i="3"/>
  <c r="A14" i="3"/>
  <c r="CY14" i="3"/>
  <c r="CZ14" i="3"/>
  <c r="DA14" i="3"/>
  <c r="DB14" i="3"/>
  <c r="DC14" i="3"/>
  <c r="A15" i="3"/>
  <c r="CY15" i="3"/>
  <c r="CZ15" i="3"/>
  <c r="DA15" i="3"/>
  <c r="DB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A18" i="3"/>
  <c r="DB18" i="3"/>
  <c r="DC18" i="3"/>
  <c r="A19" i="3"/>
  <c r="CY19" i="3"/>
  <c r="CZ19" i="3"/>
  <c r="DA19" i="3"/>
  <c r="DB19" i="3"/>
  <c r="DC19" i="3"/>
  <c r="A20" i="3"/>
  <c r="CY20" i="3"/>
  <c r="CZ20" i="3"/>
  <c r="DA20" i="3"/>
  <c r="DB20" i="3"/>
  <c r="DC20" i="3"/>
  <c r="A21" i="3"/>
  <c r="CY21" i="3"/>
  <c r="CZ21" i="3"/>
  <c r="DA21" i="3"/>
  <c r="DB21" i="3"/>
  <c r="DC21" i="3"/>
  <c r="A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A26" i="3"/>
  <c r="DB26" i="3"/>
  <c r="DC26" i="3"/>
  <c r="A27" i="3"/>
  <c r="CX27" i="3"/>
  <c r="CY27" i="3"/>
  <c r="CZ27" i="3"/>
  <c r="DA27" i="3"/>
  <c r="DB27" i="3"/>
  <c r="DC27" i="3"/>
  <c r="A28" i="3"/>
  <c r="CX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Y30" i="3"/>
  <c r="CZ30" i="3"/>
  <c r="DA30" i="3"/>
  <c r="DB30" i="3"/>
  <c r="DC30" i="3"/>
  <c r="A31" i="3"/>
  <c r="CY31" i="3"/>
  <c r="CZ31" i="3"/>
  <c r="DA31" i="3"/>
  <c r="DB31" i="3"/>
  <c r="DC31" i="3"/>
  <c r="A32" i="3"/>
  <c r="CY32" i="3"/>
  <c r="CZ32" i="3"/>
  <c r="DA32" i="3"/>
  <c r="DB32" i="3"/>
  <c r="DC32" i="3"/>
  <c r="A33" i="3"/>
  <c r="CY33" i="3"/>
  <c r="CZ33" i="3"/>
  <c r="DA33" i="3"/>
  <c r="DB33" i="3"/>
  <c r="DC33" i="3"/>
  <c r="A34" i="3"/>
  <c r="CY34" i="3"/>
  <c r="CZ34" i="3"/>
  <c r="DA34" i="3"/>
  <c r="DB34" i="3"/>
  <c r="DC34" i="3"/>
  <c r="A35" i="3"/>
  <c r="CY35" i="3"/>
  <c r="CZ35" i="3"/>
  <c r="DA35" i="3"/>
  <c r="DB35" i="3"/>
  <c r="DC35" i="3"/>
  <c r="A36" i="3"/>
  <c r="CY36" i="3"/>
  <c r="CZ36" i="3"/>
  <c r="DA36" i="3"/>
  <c r="DB36" i="3"/>
  <c r="DC36" i="3"/>
  <c r="A37" i="3"/>
  <c r="CY37" i="3"/>
  <c r="CZ37" i="3"/>
  <c r="DA37" i="3"/>
  <c r="DB37" i="3"/>
  <c r="DC37" i="3"/>
  <c r="A38" i="3"/>
  <c r="CY38" i="3"/>
  <c r="CZ38" i="3"/>
  <c r="DA38" i="3"/>
  <c r="DB38" i="3"/>
  <c r="DC38" i="3"/>
  <c r="A39" i="3"/>
  <c r="CY39" i="3"/>
  <c r="CZ39" i="3"/>
  <c r="DA39" i="3"/>
  <c r="DB39" i="3"/>
  <c r="DC39" i="3"/>
  <c r="A40" i="3"/>
  <c r="CY40" i="3"/>
  <c r="CZ40" i="3"/>
  <c r="DA40" i="3"/>
  <c r="DB40" i="3"/>
  <c r="DC40" i="3"/>
  <c r="A41" i="3"/>
  <c r="CY41" i="3"/>
  <c r="CZ41" i="3"/>
  <c r="DA41" i="3"/>
  <c r="DB41" i="3"/>
  <c r="DC41" i="3"/>
  <c r="A42" i="3"/>
  <c r="CY42" i="3"/>
  <c r="CZ42" i="3"/>
  <c r="DA42" i="3"/>
  <c r="DB42" i="3"/>
  <c r="DC42" i="3"/>
  <c r="A43" i="3"/>
  <c r="CY43" i="3"/>
  <c r="CZ43" i="3"/>
  <c r="DA43" i="3"/>
  <c r="DB43" i="3"/>
  <c r="DC43" i="3"/>
  <c r="A44" i="3"/>
  <c r="CY44" i="3"/>
  <c r="CZ44" i="3"/>
  <c r="DA44" i="3"/>
  <c r="DB44" i="3"/>
  <c r="DC44" i="3"/>
  <c r="A45" i="3"/>
  <c r="CY45" i="3"/>
  <c r="CZ45" i="3"/>
  <c r="DA45" i="3"/>
  <c r="DB45" i="3"/>
  <c r="DC45" i="3"/>
  <c r="A46" i="3"/>
  <c r="CY46" i="3"/>
  <c r="CZ46" i="3"/>
  <c r="DA46" i="3"/>
  <c r="DB46" i="3"/>
  <c r="DC46" i="3"/>
  <c r="A47" i="3"/>
  <c r="CY47" i="3"/>
  <c r="CZ47" i="3"/>
  <c r="DA47" i="3"/>
  <c r="DB47" i="3"/>
  <c r="DC47" i="3"/>
  <c r="A48" i="3"/>
  <c r="CY48" i="3"/>
  <c r="CZ48" i="3"/>
  <c r="DA48" i="3"/>
  <c r="DB48" i="3"/>
  <c r="DC48" i="3"/>
  <c r="A49" i="3"/>
  <c r="CY49" i="3"/>
  <c r="CZ49" i="3"/>
  <c r="DA49" i="3"/>
  <c r="DB49" i="3"/>
  <c r="DC49" i="3"/>
  <c r="A50" i="3"/>
  <c r="CY50" i="3"/>
  <c r="CZ50" i="3"/>
  <c r="DA50" i="3"/>
  <c r="DB50" i="3"/>
  <c r="DC50" i="3"/>
  <c r="A51" i="3"/>
  <c r="CY51" i="3"/>
  <c r="CZ51" i="3"/>
  <c r="DA51" i="3"/>
  <c r="DB51" i="3"/>
  <c r="DC51" i="3"/>
  <c r="A52" i="3"/>
  <c r="CY52" i="3"/>
  <c r="CZ52" i="3"/>
  <c r="DA52" i="3"/>
  <c r="DB52" i="3"/>
  <c r="DC52" i="3"/>
  <c r="A53" i="3"/>
  <c r="CY53" i="3"/>
  <c r="CZ53" i="3"/>
  <c r="DA53" i="3"/>
  <c r="DB53" i="3"/>
  <c r="DC53" i="3"/>
  <c r="A54" i="3"/>
  <c r="CY54" i="3"/>
  <c r="CZ54" i="3"/>
  <c r="DA54" i="3"/>
  <c r="DB54" i="3"/>
  <c r="DC54" i="3"/>
  <c r="A55" i="3"/>
  <c r="CY55" i="3"/>
  <c r="CZ55" i="3"/>
  <c r="DA55" i="3"/>
  <c r="DB55" i="3"/>
  <c r="DC55" i="3"/>
  <c r="A56" i="3"/>
  <c r="CY56" i="3"/>
  <c r="CZ56" i="3"/>
  <c r="DA56" i="3"/>
  <c r="DB56" i="3"/>
  <c r="DC56" i="3"/>
  <c r="A57" i="3"/>
  <c r="CY57" i="3"/>
  <c r="CZ57" i="3"/>
  <c r="DA57" i="3"/>
  <c r="DB57" i="3"/>
  <c r="DC57" i="3"/>
  <c r="A58" i="3"/>
  <c r="CY58" i="3"/>
  <c r="CZ58" i="3"/>
  <c r="DA58" i="3"/>
  <c r="DB58" i="3"/>
  <c r="DC58" i="3"/>
  <c r="A59" i="3"/>
  <c r="CY59" i="3"/>
  <c r="CZ59" i="3"/>
  <c r="DA59" i="3"/>
  <c r="DB59" i="3"/>
  <c r="DC59" i="3"/>
  <c r="A60" i="3"/>
  <c r="CY60" i="3"/>
  <c r="CZ60" i="3"/>
  <c r="DA60" i="3"/>
  <c r="DB60" i="3"/>
  <c r="DC60" i="3"/>
  <c r="A61" i="3"/>
  <c r="CY61" i="3"/>
  <c r="CZ61" i="3"/>
  <c r="DA61" i="3"/>
  <c r="DB61" i="3"/>
  <c r="DC61" i="3"/>
  <c r="A62" i="3"/>
  <c r="CY62" i="3"/>
  <c r="CZ62" i="3"/>
  <c r="DA62" i="3"/>
  <c r="DB62" i="3"/>
  <c r="DC62" i="3"/>
  <c r="A63" i="3"/>
  <c r="CY63" i="3"/>
  <c r="CZ63" i="3"/>
  <c r="DA63" i="3"/>
  <c r="DB63" i="3"/>
  <c r="DC63" i="3"/>
  <c r="A64" i="3"/>
  <c r="CY64" i="3"/>
  <c r="CZ64" i="3"/>
  <c r="DA64" i="3"/>
  <c r="DB64" i="3"/>
  <c r="DC64" i="3"/>
  <c r="A65" i="3"/>
  <c r="CY65" i="3"/>
  <c r="CZ65" i="3"/>
  <c r="DA65" i="3"/>
  <c r="DB65" i="3"/>
  <c r="DC65" i="3"/>
  <c r="A66" i="3"/>
  <c r="CY66" i="3"/>
  <c r="CZ66" i="3"/>
  <c r="DA66" i="3"/>
  <c r="DB66" i="3"/>
  <c r="DC66" i="3"/>
  <c r="A67" i="3"/>
  <c r="CY67" i="3"/>
  <c r="CZ67" i="3"/>
  <c r="DA67" i="3"/>
  <c r="DB67" i="3"/>
  <c r="DC67" i="3"/>
  <c r="A68" i="3"/>
  <c r="CY68" i="3"/>
  <c r="CZ68" i="3"/>
  <c r="DA68" i="3"/>
  <c r="DB68" i="3"/>
  <c r="DC68" i="3"/>
  <c r="A69" i="3"/>
  <c r="CY69" i="3"/>
  <c r="CZ69" i="3"/>
  <c r="DA69" i="3"/>
  <c r="DB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A72" i="3"/>
  <c r="DB72" i="3"/>
  <c r="DC72" i="3"/>
  <c r="A73" i="3"/>
  <c r="CY73" i="3"/>
  <c r="CZ73" i="3"/>
  <c r="DA73" i="3"/>
  <c r="DB73" i="3"/>
  <c r="DC73" i="3"/>
  <c r="A74" i="3"/>
  <c r="CY74" i="3"/>
  <c r="CZ74" i="3"/>
  <c r="DA74" i="3"/>
  <c r="DB74" i="3"/>
  <c r="DC74" i="3"/>
  <c r="A75" i="3"/>
  <c r="CY75" i="3"/>
  <c r="CZ75" i="3"/>
  <c r="DA75" i="3"/>
  <c r="DB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A78" i="3"/>
  <c r="DB78" i="3"/>
  <c r="DC78" i="3"/>
  <c r="A79" i="3"/>
  <c r="CY79" i="3"/>
  <c r="CZ79" i="3"/>
  <c r="DA79" i="3"/>
  <c r="DB79" i="3"/>
  <c r="DC79" i="3"/>
  <c r="A80" i="3"/>
  <c r="CY80" i="3"/>
  <c r="CZ80" i="3"/>
  <c r="DA80" i="3"/>
  <c r="DB80" i="3"/>
  <c r="DC80" i="3"/>
  <c r="A81" i="3"/>
  <c r="CY81" i="3"/>
  <c r="CZ81" i="3"/>
  <c r="DA81" i="3"/>
  <c r="DB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A84" i="3"/>
  <c r="DB84" i="3"/>
  <c r="DC84" i="3"/>
  <c r="A85" i="3"/>
  <c r="CY85" i="3"/>
  <c r="CZ85" i="3"/>
  <c r="DA85" i="3"/>
  <c r="DB85" i="3"/>
  <c r="DC85" i="3"/>
  <c r="A86" i="3"/>
  <c r="CY86" i="3"/>
  <c r="CZ86" i="3"/>
  <c r="DA86" i="3"/>
  <c r="DB86" i="3"/>
  <c r="DC86" i="3"/>
  <c r="A87" i="3"/>
  <c r="CY87" i="3"/>
  <c r="CZ87" i="3"/>
  <c r="DA87" i="3"/>
  <c r="DB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A90" i="3"/>
  <c r="DB90" i="3"/>
  <c r="DC90" i="3"/>
  <c r="A91" i="3"/>
  <c r="CY91" i="3"/>
  <c r="CZ91" i="3"/>
  <c r="DA91" i="3"/>
  <c r="DB91" i="3"/>
  <c r="DC91" i="3"/>
  <c r="A92" i="3"/>
  <c r="CY92" i="3"/>
  <c r="CZ92" i="3"/>
  <c r="DA92" i="3"/>
  <c r="DB92" i="3"/>
  <c r="DC92" i="3"/>
  <c r="A93" i="3"/>
  <c r="CY93" i="3"/>
  <c r="CZ93" i="3"/>
  <c r="DA93" i="3"/>
  <c r="DB93" i="3"/>
  <c r="DC93" i="3"/>
  <c r="A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A96" i="3"/>
  <c r="DB96" i="3"/>
  <c r="DC96" i="3"/>
  <c r="A97" i="3"/>
  <c r="CY97" i="3"/>
  <c r="CZ97" i="3"/>
  <c r="DA97" i="3"/>
  <c r="DB97" i="3"/>
  <c r="DC97" i="3"/>
  <c r="A98" i="3"/>
  <c r="CY98" i="3"/>
  <c r="CZ98" i="3"/>
  <c r="DA98" i="3"/>
  <c r="DB98" i="3"/>
  <c r="DC98" i="3"/>
  <c r="A99" i="3"/>
  <c r="CY99" i="3"/>
  <c r="CZ99" i="3"/>
  <c r="DA99" i="3"/>
  <c r="DB99" i="3"/>
  <c r="DC99" i="3"/>
  <c r="A100" i="3"/>
  <c r="CY100" i="3"/>
  <c r="CZ100" i="3"/>
  <c r="DA100" i="3"/>
  <c r="DB100" i="3"/>
  <c r="DC100" i="3"/>
  <c r="A101" i="3"/>
  <c r="CY101" i="3"/>
  <c r="CZ101" i="3"/>
  <c r="DA101" i="3"/>
  <c r="DB101" i="3"/>
  <c r="DC101" i="3"/>
  <c r="A102" i="3"/>
  <c r="CY102" i="3"/>
  <c r="CZ102" i="3"/>
  <c r="DA102" i="3"/>
  <c r="DB102" i="3"/>
  <c r="DC102" i="3"/>
  <c r="A103" i="3"/>
  <c r="CY103" i="3"/>
  <c r="CZ103" i="3"/>
  <c r="DA103" i="3"/>
  <c r="DB103" i="3"/>
  <c r="DC103" i="3"/>
  <c r="A104" i="3"/>
  <c r="CY104" i="3"/>
  <c r="CZ104" i="3"/>
  <c r="DA104" i="3"/>
  <c r="DB104" i="3"/>
  <c r="DC104" i="3"/>
  <c r="A105" i="3"/>
  <c r="CY105" i="3"/>
  <c r="CZ105" i="3"/>
  <c r="DA105" i="3"/>
  <c r="DB105" i="3"/>
  <c r="DC105" i="3"/>
  <c r="A106" i="3"/>
  <c r="CY106" i="3"/>
  <c r="CZ106" i="3"/>
  <c r="DA106" i="3"/>
  <c r="DB106" i="3"/>
  <c r="DC106" i="3"/>
  <c r="A107" i="3"/>
  <c r="CY107" i="3"/>
  <c r="CZ107" i="3"/>
  <c r="DA107" i="3"/>
  <c r="DB107" i="3"/>
  <c r="DC107" i="3"/>
  <c r="A108" i="3"/>
  <c r="CY108" i="3"/>
  <c r="CZ108" i="3"/>
  <c r="DA108" i="3"/>
  <c r="DB108" i="3"/>
  <c r="DC108" i="3"/>
  <c r="A109" i="3"/>
  <c r="CY109" i="3"/>
  <c r="CZ109" i="3"/>
  <c r="DA109" i="3"/>
  <c r="DB109" i="3"/>
  <c r="DC109" i="3"/>
  <c r="A110" i="3"/>
  <c r="CY110" i="3"/>
  <c r="CZ110" i="3"/>
  <c r="DA110" i="3"/>
  <c r="DB110" i="3"/>
  <c r="DC110" i="3"/>
  <c r="A111" i="3"/>
  <c r="CY111" i="3"/>
  <c r="CZ111" i="3"/>
  <c r="DA111" i="3"/>
  <c r="DB111" i="3"/>
  <c r="DC111" i="3"/>
  <c r="A112" i="3"/>
  <c r="CY112" i="3"/>
  <c r="CZ112" i="3"/>
  <c r="DA112" i="3"/>
  <c r="DB112" i="3"/>
  <c r="DC112" i="3"/>
  <c r="A113" i="3"/>
  <c r="CY113" i="3"/>
  <c r="CZ113" i="3"/>
  <c r="DA113" i="3"/>
  <c r="DB113" i="3"/>
  <c r="DC113" i="3"/>
  <c r="A114" i="3"/>
  <c r="CY114" i="3"/>
  <c r="CZ114" i="3"/>
  <c r="DA114" i="3"/>
  <c r="DB114" i="3"/>
  <c r="DC114" i="3"/>
  <c r="A115" i="3"/>
  <c r="CY115" i="3"/>
  <c r="CZ115" i="3"/>
  <c r="DA115" i="3"/>
  <c r="DB115" i="3"/>
  <c r="DC115" i="3"/>
  <c r="A116" i="3"/>
  <c r="CY116" i="3"/>
  <c r="CZ116" i="3"/>
  <c r="DA116" i="3"/>
  <c r="DB116" i="3"/>
  <c r="DC116" i="3"/>
  <c r="A117" i="3"/>
  <c r="CY117" i="3"/>
  <c r="CZ117" i="3"/>
  <c r="DA117" i="3"/>
  <c r="DB117" i="3"/>
  <c r="DC117" i="3"/>
  <c r="A118" i="3"/>
  <c r="CY118" i="3"/>
  <c r="CZ118" i="3"/>
  <c r="DA118" i="3"/>
  <c r="DB118" i="3"/>
  <c r="DC118" i="3"/>
  <c r="A119" i="3"/>
  <c r="CY119" i="3"/>
  <c r="CZ119" i="3"/>
  <c r="DA119" i="3"/>
  <c r="DB119" i="3"/>
  <c r="DC119" i="3"/>
  <c r="A120" i="3"/>
  <c r="CY120" i="3"/>
  <c r="CZ120" i="3"/>
  <c r="DA120" i="3"/>
  <c r="DB120" i="3"/>
  <c r="DC120" i="3"/>
  <c r="A121" i="3"/>
  <c r="CY121" i="3"/>
  <c r="CZ121" i="3"/>
  <c r="DA121" i="3"/>
  <c r="DB121" i="3"/>
  <c r="DC121" i="3"/>
  <c r="A122" i="3"/>
  <c r="CY122" i="3"/>
  <c r="CZ122" i="3"/>
  <c r="DA122" i="3"/>
  <c r="DB122" i="3"/>
  <c r="DC122" i="3"/>
  <c r="A123" i="3"/>
  <c r="CY123" i="3"/>
  <c r="CZ123" i="3"/>
  <c r="DA123" i="3"/>
  <c r="DB123" i="3"/>
  <c r="DC123" i="3"/>
  <c r="A124" i="3"/>
  <c r="CY124" i="3"/>
  <c r="CZ124" i="3"/>
  <c r="DA124" i="3"/>
  <c r="DB124" i="3"/>
  <c r="DC124" i="3"/>
  <c r="A125" i="3"/>
  <c r="CY125" i="3"/>
  <c r="CZ125" i="3"/>
  <c r="DA125" i="3"/>
  <c r="DB125" i="3"/>
  <c r="DC125" i="3"/>
  <c r="A126" i="3"/>
  <c r="CY126" i="3"/>
  <c r="CZ126" i="3"/>
  <c r="DA126" i="3"/>
  <c r="DB126" i="3"/>
  <c r="DC126" i="3"/>
  <c r="A127" i="3"/>
  <c r="CY127" i="3"/>
  <c r="CZ127" i="3"/>
  <c r="DA127" i="3"/>
  <c r="DB127" i="3"/>
  <c r="DC127" i="3"/>
  <c r="A128" i="3"/>
  <c r="CY128" i="3"/>
  <c r="CZ128" i="3"/>
  <c r="DA128" i="3"/>
  <c r="DB128" i="3"/>
  <c r="DC128" i="3"/>
  <c r="A129" i="3"/>
  <c r="CY129" i="3"/>
  <c r="CZ129" i="3"/>
  <c r="DA129" i="3"/>
  <c r="DB129" i="3"/>
  <c r="DC129" i="3"/>
  <c r="A130" i="3"/>
  <c r="CY130" i="3"/>
  <c r="CZ130" i="3"/>
  <c r="DA130" i="3"/>
  <c r="DB130" i="3"/>
  <c r="DC130" i="3"/>
  <c r="A131" i="3"/>
  <c r="CY131" i="3"/>
  <c r="CZ131" i="3"/>
  <c r="DA131" i="3"/>
  <c r="DB131" i="3"/>
  <c r="DC131" i="3"/>
  <c r="A132" i="3"/>
  <c r="CY132" i="3"/>
  <c r="CZ132" i="3"/>
  <c r="DA132" i="3"/>
  <c r="DB132" i="3"/>
  <c r="DC132" i="3"/>
  <c r="A133" i="3"/>
  <c r="CY133" i="3"/>
  <c r="CZ133" i="3"/>
  <c r="DA133" i="3"/>
  <c r="DB133" i="3"/>
  <c r="DC133" i="3"/>
  <c r="A134" i="3"/>
  <c r="CY134" i="3"/>
  <c r="CZ134" i="3"/>
  <c r="DA134" i="3"/>
  <c r="DB134" i="3"/>
  <c r="DC134" i="3"/>
  <c r="A135" i="3"/>
  <c r="CY135" i="3"/>
  <c r="CZ135" i="3"/>
  <c r="DA135" i="3"/>
  <c r="DB135" i="3"/>
  <c r="DC135" i="3"/>
  <c r="A136" i="3"/>
  <c r="CY136" i="3"/>
  <c r="CZ136" i="3"/>
  <c r="DA136" i="3"/>
  <c r="DB136" i="3"/>
  <c r="DC136" i="3"/>
  <c r="A137" i="3"/>
  <c r="CY137" i="3"/>
  <c r="CZ137" i="3"/>
  <c r="DA137" i="3"/>
  <c r="DB137" i="3"/>
  <c r="DC137" i="3"/>
  <c r="A138" i="3"/>
  <c r="CY138" i="3"/>
  <c r="CZ138" i="3"/>
  <c r="DA138" i="3"/>
  <c r="DB138" i="3"/>
  <c r="DC138" i="3"/>
  <c r="A139" i="3"/>
  <c r="CY139" i="3"/>
  <c r="CZ139" i="3"/>
  <c r="DA139" i="3"/>
  <c r="DB139" i="3"/>
  <c r="DC139" i="3"/>
  <c r="A140" i="3"/>
  <c r="CY140" i="3"/>
  <c r="CZ140" i="3"/>
  <c r="DA140" i="3"/>
  <c r="DB140" i="3"/>
  <c r="DC140" i="3"/>
  <c r="A141" i="3"/>
  <c r="CY141" i="3"/>
  <c r="CZ141" i="3"/>
  <c r="DA141" i="3"/>
  <c r="DB141" i="3"/>
  <c r="DC141" i="3"/>
  <c r="A142" i="3"/>
  <c r="CY142" i="3"/>
  <c r="CZ142" i="3"/>
  <c r="DA142" i="3"/>
  <c r="DB142" i="3"/>
  <c r="DC142" i="3"/>
  <c r="A143" i="3"/>
  <c r="CY143" i="3"/>
  <c r="CZ143" i="3"/>
  <c r="DA143" i="3"/>
  <c r="DB143" i="3"/>
  <c r="DC143" i="3"/>
  <c r="A144" i="3"/>
  <c r="CY144" i="3"/>
  <c r="CZ144" i="3"/>
  <c r="DA144" i="3"/>
  <c r="DB144" i="3"/>
  <c r="DC144" i="3"/>
  <c r="A145" i="3"/>
  <c r="CY145" i="3"/>
  <c r="CZ145" i="3"/>
  <c r="DA145" i="3"/>
  <c r="DB145" i="3"/>
  <c r="DC145" i="3"/>
  <c r="A146" i="3"/>
  <c r="CY146" i="3"/>
  <c r="CZ146" i="3"/>
  <c r="DA146" i="3"/>
  <c r="DB146" i="3"/>
  <c r="DC146" i="3"/>
  <c r="A147" i="3"/>
  <c r="CY147" i="3"/>
  <c r="CZ147" i="3"/>
  <c r="DA147" i="3"/>
  <c r="DB147" i="3"/>
  <c r="DC147" i="3"/>
  <c r="A148" i="3"/>
  <c r="CY148" i="3"/>
  <c r="CZ148" i="3"/>
  <c r="DA148" i="3"/>
  <c r="DB148" i="3"/>
  <c r="DC148" i="3"/>
  <c r="A149" i="3"/>
  <c r="CY149" i="3"/>
  <c r="CZ149" i="3"/>
  <c r="DA149" i="3"/>
  <c r="DB149" i="3"/>
  <c r="DC149" i="3"/>
  <c r="A150" i="3"/>
  <c r="CY150" i="3"/>
  <c r="CZ150" i="3"/>
  <c r="DA150" i="3"/>
  <c r="DB150" i="3"/>
  <c r="DC150" i="3"/>
  <c r="A151" i="3"/>
  <c r="CY151" i="3"/>
  <c r="CZ151" i="3"/>
  <c r="DA151" i="3"/>
  <c r="DB151" i="3"/>
  <c r="DC151" i="3"/>
  <c r="A152" i="3"/>
  <c r="CY152" i="3"/>
  <c r="CZ152" i="3"/>
  <c r="DA152" i="3"/>
  <c r="DB152" i="3"/>
  <c r="DC152" i="3"/>
  <c r="A153" i="3"/>
  <c r="CY153" i="3"/>
  <c r="CZ153" i="3"/>
  <c r="DA153" i="3"/>
  <c r="DB153" i="3"/>
  <c r="DC153" i="3"/>
  <c r="A154" i="3"/>
  <c r="CY154" i="3"/>
  <c r="CZ154" i="3"/>
  <c r="DA154" i="3"/>
  <c r="DB154" i="3"/>
  <c r="DC154" i="3"/>
  <c r="A155" i="3"/>
  <c r="CY155" i="3"/>
  <c r="CZ155" i="3"/>
  <c r="DA155" i="3"/>
  <c r="DB155" i="3"/>
  <c r="DC155" i="3"/>
  <c r="A156" i="3"/>
  <c r="CY156" i="3"/>
  <c r="CZ156" i="3"/>
  <c r="DA156" i="3"/>
  <c r="DB156" i="3"/>
  <c r="DC156" i="3"/>
  <c r="A157" i="3"/>
  <c r="CY157" i="3"/>
  <c r="CZ157" i="3"/>
  <c r="DA157" i="3"/>
  <c r="DB157" i="3"/>
  <c r="DC157" i="3"/>
  <c r="A158" i="3"/>
  <c r="CY158" i="3"/>
  <c r="CZ158" i="3"/>
  <c r="DA158" i="3"/>
  <c r="DB158" i="3"/>
  <c r="DC158" i="3"/>
  <c r="A159" i="3"/>
  <c r="CY159" i="3"/>
  <c r="CZ159" i="3"/>
  <c r="DA159" i="3"/>
  <c r="DB159" i="3"/>
  <c r="DC159" i="3"/>
  <c r="A160" i="3"/>
  <c r="CY160" i="3"/>
  <c r="CZ160" i="3"/>
  <c r="DA160" i="3"/>
  <c r="DB160" i="3"/>
  <c r="DC160" i="3"/>
  <c r="A161" i="3"/>
  <c r="CY161" i="3"/>
  <c r="CZ161" i="3"/>
  <c r="DA161" i="3"/>
  <c r="DB161" i="3"/>
  <c r="DC161" i="3"/>
  <c r="A162" i="3"/>
  <c r="CY162" i="3"/>
  <c r="CZ162" i="3"/>
  <c r="DA162" i="3"/>
  <c r="DB162" i="3"/>
  <c r="DC162" i="3"/>
  <c r="A163" i="3"/>
  <c r="CY163" i="3"/>
  <c r="CZ163" i="3"/>
  <c r="DA163" i="3"/>
  <c r="DB163" i="3"/>
  <c r="DC163" i="3"/>
  <c r="A164" i="3"/>
  <c r="CY164" i="3"/>
  <c r="CZ164" i="3"/>
  <c r="DA164" i="3"/>
  <c r="DB164" i="3"/>
  <c r="DC164" i="3"/>
  <c r="A165" i="3"/>
  <c r="CY165" i="3"/>
  <c r="CZ165" i="3"/>
  <c r="DA165" i="3"/>
  <c r="DB165" i="3"/>
  <c r="DC165" i="3"/>
  <c r="A166" i="3"/>
  <c r="CY166" i="3"/>
  <c r="CZ166" i="3"/>
  <c r="DA166" i="3"/>
  <c r="DB166" i="3"/>
  <c r="DC166" i="3"/>
  <c r="A167" i="3"/>
  <c r="CY167" i="3"/>
  <c r="CZ167" i="3"/>
  <c r="DA167" i="3"/>
  <c r="DB167" i="3"/>
  <c r="DC167" i="3"/>
  <c r="A168" i="3"/>
  <c r="CY168" i="3"/>
  <c r="CZ168" i="3"/>
  <c r="DA168" i="3"/>
  <c r="DB168" i="3"/>
  <c r="DC168" i="3"/>
  <c r="A169" i="3"/>
  <c r="CY169" i="3"/>
  <c r="CZ169" i="3"/>
  <c r="DA169" i="3"/>
  <c r="DB169" i="3"/>
  <c r="DC169" i="3"/>
  <c r="A170" i="3"/>
  <c r="CY170" i="3"/>
  <c r="CZ170" i="3"/>
  <c r="DA170" i="3"/>
  <c r="DB170" i="3"/>
  <c r="DC170" i="3"/>
  <c r="A171" i="3"/>
  <c r="CY171" i="3"/>
  <c r="CZ171" i="3"/>
  <c r="DA171" i="3"/>
  <c r="DB171" i="3"/>
  <c r="DC171" i="3"/>
  <c r="A172" i="3"/>
  <c r="CY172" i="3"/>
  <c r="CZ172" i="3"/>
  <c r="DA172" i="3"/>
  <c r="DB172" i="3"/>
  <c r="DC172" i="3"/>
  <c r="A173" i="3"/>
  <c r="CY173" i="3"/>
  <c r="CZ173" i="3"/>
  <c r="DA173" i="3"/>
  <c r="DB173" i="3"/>
  <c r="DC173" i="3"/>
  <c r="A174" i="3"/>
  <c r="CY174" i="3"/>
  <c r="CZ174" i="3"/>
  <c r="DA174" i="3"/>
  <c r="DB174" i="3"/>
  <c r="DC174" i="3"/>
  <c r="A175" i="3"/>
  <c r="CY175" i="3"/>
  <c r="CZ175" i="3"/>
  <c r="DA175" i="3"/>
  <c r="DB175" i="3"/>
  <c r="DC175" i="3"/>
  <c r="A176" i="3"/>
  <c r="CY176" i="3"/>
  <c r="CZ176" i="3"/>
  <c r="DA176" i="3"/>
  <c r="DB176" i="3"/>
  <c r="DC176" i="3"/>
  <c r="A177" i="3"/>
  <c r="CY177" i="3"/>
  <c r="CZ177" i="3"/>
  <c r="DA177" i="3"/>
  <c r="DB177" i="3"/>
  <c r="DC177" i="3"/>
  <c r="A178" i="3"/>
  <c r="CY178" i="3"/>
  <c r="CZ178" i="3"/>
  <c r="DA178" i="3"/>
  <c r="DB178" i="3"/>
  <c r="DC178" i="3"/>
  <c r="A179" i="3"/>
  <c r="CY179" i="3"/>
  <c r="CZ179" i="3"/>
  <c r="DA179" i="3"/>
  <c r="DB179" i="3"/>
  <c r="DC179" i="3"/>
  <c r="A180" i="3"/>
  <c r="CY180" i="3"/>
  <c r="CZ180" i="3"/>
  <c r="DA180" i="3"/>
  <c r="DB180" i="3"/>
  <c r="DC180" i="3"/>
  <c r="A181" i="3"/>
  <c r="CY181" i="3"/>
  <c r="CZ181" i="3"/>
  <c r="DA181" i="3"/>
  <c r="DB181" i="3"/>
  <c r="DC181" i="3"/>
  <c r="A182" i="3"/>
  <c r="CY182" i="3"/>
  <c r="CZ182" i="3"/>
  <c r="DA182" i="3"/>
  <c r="DB182" i="3"/>
  <c r="DC182" i="3"/>
  <c r="A183" i="3"/>
  <c r="CY183" i="3"/>
  <c r="CZ183" i="3"/>
  <c r="DA183" i="3"/>
  <c r="DB183" i="3"/>
  <c r="DC183" i="3"/>
  <c r="A184" i="3"/>
  <c r="CY184" i="3"/>
  <c r="CZ184" i="3"/>
  <c r="DA184" i="3"/>
  <c r="DB184" i="3"/>
  <c r="DC184" i="3"/>
  <c r="A185" i="3"/>
  <c r="CY185" i="3"/>
  <c r="CZ185" i="3"/>
  <c r="DA185" i="3"/>
  <c r="DB185" i="3"/>
  <c r="DC185" i="3"/>
  <c r="A186" i="3"/>
  <c r="CY186" i="3"/>
  <c r="CZ186" i="3"/>
  <c r="DA186" i="3"/>
  <c r="DB186" i="3"/>
  <c r="DC186" i="3"/>
  <c r="A187" i="3"/>
  <c r="CY187" i="3"/>
  <c r="CZ187" i="3"/>
  <c r="DA187" i="3"/>
  <c r="DB187" i="3"/>
  <c r="DC187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AC28" i="1"/>
  <c r="CQ28" i="1" s="1"/>
  <c r="AD28" i="1"/>
  <c r="AE28" i="1"/>
  <c r="AF28" i="1"/>
  <c r="AG28" i="1"/>
  <c r="AH28" i="1"/>
  <c r="CV28" i="1" s="1"/>
  <c r="AI28" i="1"/>
  <c r="AJ28" i="1"/>
  <c r="CX28" i="1" s="1"/>
  <c r="W28" i="1" s="1"/>
  <c r="CR28" i="1"/>
  <c r="CS28" i="1"/>
  <c r="CU28" i="1"/>
  <c r="CW28" i="1"/>
  <c r="FR28" i="1"/>
  <c r="GL28" i="1"/>
  <c r="GN28" i="1"/>
  <c r="GO28" i="1"/>
  <c r="GV28" i="1"/>
  <c r="HC28" i="1" s="1"/>
  <c r="C29" i="1"/>
  <c r="D29" i="1"/>
  <c r="I29" i="1"/>
  <c r="AC29" i="1"/>
  <c r="AD29" i="1"/>
  <c r="AE29" i="1"/>
  <c r="AF29" i="1"/>
  <c r="AG29" i="1"/>
  <c r="CU29" i="1" s="1"/>
  <c r="AH29" i="1"/>
  <c r="CV29" i="1" s="1"/>
  <c r="AI29" i="1"/>
  <c r="CW29" i="1" s="1"/>
  <c r="AJ29" i="1"/>
  <c r="CX29" i="1" s="1"/>
  <c r="W29" i="1" s="1"/>
  <c r="CQ29" i="1"/>
  <c r="CR29" i="1"/>
  <c r="Q29" i="1" s="1"/>
  <c r="CS29" i="1"/>
  <c r="FR29" i="1"/>
  <c r="GL29" i="1"/>
  <c r="GN29" i="1"/>
  <c r="GO29" i="1"/>
  <c r="GV29" i="1"/>
  <c r="HC29" i="1" s="1"/>
  <c r="GX29" i="1" s="1"/>
  <c r="C30" i="1"/>
  <c r="D30" i="1"/>
  <c r="I30" i="1"/>
  <c r="AC30" i="1"/>
  <c r="CQ30" i="1" s="1"/>
  <c r="AE30" i="1"/>
  <c r="U50" i="5" s="1"/>
  <c r="AF30" i="1"/>
  <c r="AG30" i="1"/>
  <c r="AH30" i="1"/>
  <c r="CV30" i="1" s="1"/>
  <c r="AI30" i="1"/>
  <c r="CW30" i="1" s="1"/>
  <c r="AJ30" i="1"/>
  <c r="CX30" i="1" s="1"/>
  <c r="W30" i="1" s="1"/>
  <c r="CS30" i="1"/>
  <c r="CU30" i="1"/>
  <c r="FR30" i="1"/>
  <c r="GL30" i="1"/>
  <c r="GN30" i="1"/>
  <c r="GO30" i="1"/>
  <c r="GV30" i="1"/>
  <c r="HC30" i="1" s="1"/>
  <c r="GX30" i="1" s="1"/>
  <c r="C31" i="1"/>
  <c r="D31" i="1"/>
  <c r="I31" i="1"/>
  <c r="AC31" i="1"/>
  <c r="AE31" i="1"/>
  <c r="U57" i="5" s="1"/>
  <c r="AF31" i="1"/>
  <c r="AG31" i="1"/>
  <c r="AH31" i="1"/>
  <c r="CV31" i="1" s="1"/>
  <c r="AI31" i="1"/>
  <c r="CW31" i="1" s="1"/>
  <c r="AJ31" i="1"/>
  <c r="CX31" i="1" s="1"/>
  <c r="W31" i="1" s="1"/>
  <c r="CQ31" i="1"/>
  <c r="CS31" i="1"/>
  <c r="CU31" i="1"/>
  <c r="FR31" i="1"/>
  <c r="GL31" i="1"/>
  <c r="GN31" i="1"/>
  <c r="GO31" i="1"/>
  <c r="GV31" i="1"/>
  <c r="HC31" i="1" s="1"/>
  <c r="GX31" i="1" s="1"/>
  <c r="C32" i="1"/>
  <c r="D32" i="1"/>
  <c r="AC32" i="1"/>
  <c r="AE32" i="1"/>
  <c r="AF32" i="1"/>
  <c r="AG32" i="1"/>
  <c r="CU32" i="1" s="1"/>
  <c r="AH32" i="1"/>
  <c r="CV32" i="1" s="1"/>
  <c r="AI32" i="1"/>
  <c r="CW32" i="1" s="1"/>
  <c r="AJ32" i="1"/>
  <c r="CX32" i="1" s="1"/>
  <c r="FR32" i="1"/>
  <c r="GL32" i="1"/>
  <c r="GN32" i="1"/>
  <c r="GO32" i="1"/>
  <c r="GV32" i="1"/>
  <c r="HC32" i="1"/>
  <c r="AC33" i="1"/>
  <c r="AE33" i="1"/>
  <c r="AD33" i="1" s="1"/>
  <c r="AF33" i="1"/>
  <c r="AG33" i="1"/>
  <c r="AH33" i="1"/>
  <c r="CV33" i="1" s="1"/>
  <c r="AI33" i="1"/>
  <c r="AJ33" i="1"/>
  <c r="CX33" i="1" s="1"/>
  <c r="CQ33" i="1"/>
  <c r="CS33" i="1"/>
  <c r="CU33" i="1"/>
  <c r="CW33" i="1"/>
  <c r="FR33" i="1"/>
  <c r="GL33" i="1"/>
  <c r="GO33" i="1"/>
  <c r="GP33" i="1"/>
  <c r="GV33" i="1"/>
  <c r="HC33" i="1" s="1"/>
  <c r="C34" i="1"/>
  <c r="D34" i="1"/>
  <c r="I34" i="1"/>
  <c r="R9" i="7" s="1"/>
  <c r="AC34" i="1"/>
  <c r="AE34" i="1"/>
  <c r="AF34" i="1"/>
  <c r="AG34" i="1"/>
  <c r="CU34" i="1" s="1"/>
  <c r="T34" i="1" s="1"/>
  <c r="AH34" i="1"/>
  <c r="AI34" i="1"/>
  <c r="CW34" i="1" s="1"/>
  <c r="V34" i="1" s="1"/>
  <c r="AJ34" i="1"/>
  <c r="CX34" i="1" s="1"/>
  <c r="W34" i="1" s="1"/>
  <c r="CR34" i="1"/>
  <c r="Q34" i="1" s="1"/>
  <c r="J73" i="5" s="1"/>
  <c r="CV34" i="1"/>
  <c r="FR34" i="1"/>
  <c r="GL34" i="1"/>
  <c r="GN34" i="1"/>
  <c r="GO34" i="1"/>
  <c r="GV34" i="1"/>
  <c r="HC34" i="1" s="1"/>
  <c r="GX34" i="1" s="1"/>
  <c r="C35" i="1"/>
  <c r="D35" i="1"/>
  <c r="I35" i="1"/>
  <c r="AC35" i="1"/>
  <c r="AE35" i="1"/>
  <c r="AF35" i="1"/>
  <c r="AG35" i="1"/>
  <c r="AH35" i="1"/>
  <c r="AI35" i="1"/>
  <c r="CW35" i="1" s="1"/>
  <c r="AJ35" i="1"/>
  <c r="CX35" i="1" s="1"/>
  <c r="CQ35" i="1"/>
  <c r="P35" i="1" s="1"/>
  <c r="J86" i="5" s="1"/>
  <c r="CU35" i="1"/>
  <c r="CV35" i="1"/>
  <c r="FR35" i="1"/>
  <c r="GL35" i="1"/>
  <c r="GN35" i="1"/>
  <c r="GO35" i="1"/>
  <c r="GV35" i="1"/>
  <c r="HC35" i="1" s="1"/>
  <c r="C36" i="1"/>
  <c r="D36" i="1"/>
  <c r="AC36" i="1"/>
  <c r="CQ36" i="1" s="1"/>
  <c r="P36" i="1" s="1"/>
  <c r="AE36" i="1"/>
  <c r="CS36" i="1" s="1"/>
  <c r="AF36" i="1"/>
  <c r="AG36" i="1"/>
  <c r="AH36" i="1"/>
  <c r="CV36" i="1" s="1"/>
  <c r="U36" i="1" s="1"/>
  <c r="K102" i="5" s="1"/>
  <c r="AI36" i="1"/>
  <c r="AJ36" i="1"/>
  <c r="CX36" i="1" s="1"/>
  <c r="W36" i="1" s="1"/>
  <c r="CU36" i="1"/>
  <c r="T36" i="1" s="1"/>
  <c r="CW36" i="1"/>
  <c r="V36" i="1" s="1"/>
  <c r="FR36" i="1"/>
  <c r="GL36" i="1"/>
  <c r="GN36" i="1"/>
  <c r="GO36" i="1"/>
  <c r="GV36" i="1"/>
  <c r="HC36" i="1" s="1"/>
  <c r="GX36" i="1" s="1"/>
  <c r="I37" i="1"/>
  <c r="E97" i="5" s="1"/>
  <c r="AC37" i="1"/>
  <c r="AD37" i="1"/>
  <c r="AE37" i="1"/>
  <c r="AF37" i="1"/>
  <c r="AG37" i="1"/>
  <c r="CU37" i="1" s="1"/>
  <c r="AH37" i="1"/>
  <c r="AI37" i="1"/>
  <c r="CW37" i="1" s="1"/>
  <c r="AJ37" i="1"/>
  <c r="CQ37" i="1"/>
  <c r="CR37" i="1"/>
  <c r="Q37" i="1" s="1"/>
  <c r="CS37" i="1"/>
  <c r="CT37" i="1"/>
  <c r="S37" i="1" s="1"/>
  <c r="CV37" i="1"/>
  <c r="U37" i="1" s="1"/>
  <c r="CX37" i="1"/>
  <c r="W37" i="1" s="1"/>
  <c r="FR37" i="1"/>
  <c r="GL37" i="1"/>
  <c r="GN37" i="1"/>
  <c r="GO37" i="1"/>
  <c r="GV37" i="1"/>
  <c r="HC37" i="1" s="1"/>
  <c r="GX37" i="1" s="1"/>
  <c r="I38" i="1"/>
  <c r="AC38" i="1"/>
  <c r="AD38" i="1"/>
  <c r="AE38" i="1"/>
  <c r="AF38" i="1"/>
  <c r="AG38" i="1"/>
  <c r="CU38" i="1" s="1"/>
  <c r="T38" i="1" s="1"/>
  <c r="AH38" i="1"/>
  <c r="CV38" i="1" s="1"/>
  <c r="U38" i="1" s="1"/>
  <c r="AI38" i="1"/>
  <c r="CW38" i="1" s="1"/>
  <c r="V38" i="1" s="1"/>
  <c r="AJ38" i="1"/>
  <c r="CX38" i="1" s="1"/>
  <c r="W38" i="1" s="1"/>
  <c r="CQ38" i="1"/>
  <c r="CR38" i="1"/>
  <c r="Q38" i="1" s="1"/>
  <c r="CS38" i="1"/>
  <c r="FR38" i="1"/>
  <c r="GL38" i="1"/>
  <c r="GN38" i="1"/>
  <c r="GO38" i="1"/>
  <c r="GV38" i="1"/>
  <c r="HC38" i="1"/>
  <c r="GX38" i="1" s="1"/>
  <c r="B40" i="1"/>
  <c r="B26" i="1" s="1"/>
  <c r="C40" i="1"/>
  <c r="C26" i="1" s="1"/>
  <c r="D40" i="1"/>
  <c r="D26" i="1" s="1"/>
  <c r="F40" i="1"/>
  <c r="F26" i="1" s="1"/>
  <c r="G40" i="1"/>
  <c r="BX40" i="1"/>
  <c r="BY40" i="1"/>
  <c r="BY26" i="1" s="1"/>
  <c r="CK40" i="1"/>
  <c r="CK26" i="1" s="1"/>
  <c r="CL40" i="1"/>
  <c r="CL26" i="1" s="1"/>
  <c r="D72" i="1"/>
  <c r="E74" i="1"/>
  <c r="Z74" i="1"/>
  <c r="AA74" i="1"/>
  <c r="AM74" i="1"/>
  <c r="AN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C76" i="1"/>
  <c r="D76" i="1"/>
  <c r="I76" i="1"/>
  <c r="AC76" i="1"/>
  <c r="CQ76" i="1" s="1"/>
  <c r="AE76" i="1"/>
  <c r="AF76" i="1"/>
  <c r="AG76" i="1"/>
  <c r="CU76" i="1" s="1"/>
  <c r="AH76" i="1"/>
  <c r="CV76" i="1" s="1"/>
  <c r="U76" i="1" s="1"/>
  <c r="K120" i="5" s="1"/>
  <c r="AI76" i="1"/>
  <c r="CW76" i="1" s="1"/>
  <c r="V76" i="1" s="1"/>
  <c r="AJ76" i="1"/>
  <c r="CX76" i="1" s="1"/>
  <c r="W76" i="1" s="1"/>
  <c r="CS76" i="1"/>
  <c r="FR76" i="1"/>
  <c r="GL76" i="1"/>
  <c r="GN76" i="1"/>
  <c r="GO76" i="1"/>
  <c r="GV76" i="1"/>
  <c r="HC76" i="1" s="1"/>
  <c r="C77" i="1"/>
  <c r="D77" i="1"/>
  <c r="I77" i="1"/>
  <c r="AC77" i="1"/>
  <c r="AD77" i="1"/>
  <c r="AE77" i="1"/>
  <c r="U122" i="5" s="1"/>
  <c r="AF77" i="1"/>
  <c r="AG77" i="1"/>
  <c r="CU77" i="1" s="1"/>
  <c r="T77" i="1" s="1"/>
  <c r="AH77" i="1"/>
  <c r="CV77" i="1" s="1"/>
  <c r="U77" i="1" s="1"/>
  <c r="K127" i="5" s="1"/>
  <c r="AI77" i="1"/>
  <c r="CW77" i="1" s="1"/>
  <c r="AJ77" i="1"/>
  <c r="CX77" i="1" s="1"/>
  <c r="W77" i="1" s="1"/>
  <c r="CQ77" i="1"/>
  <c r="P77" i="1" s="1"/>
  <c r="CR77" i="1"/>
  <c r="Q77" i="1" s="1"/>
  <c r="CS77" i="1"/>
  <c r="FR77" i="1"/>
  <c r="GL77" i="1"/>
  <c r="GN77" i="1"/>
  <c r="GO77" i="1"/>
  <c r="GV77" i="1"/>
  <c r="HC77" i="1"/>
  <c r="GX77" i="1" s="1"/>
  <c r="C78" i="1"/>
  <c r="D78" i="1"/>
  <c r="I78" i="1"/>
  <c r="AC78" i="1"/>
  <c r="CQ78" i="1" s="1"/>
  <c r="P78" i="1" s="1"/>
  <c r="AE78" i="1"/>
  <c r="AF78" i="1"/>
  <c r="AG78" i="1"/>
  <c r="CU78" i="1" s="1"/>
  <c r="T78" i="1" s="1"/>
  <c r="AH78" i="1"/>
  <c r="CV78" i="1" s="1"/>
  <c r="U78" i="1" s="1"/>
  <c r="K134" i="5" s="1"/>
  <c r="AI78" i="1"/>
  <c r="CW78" i="1" s="1"/>
  <c r="V78" i="1" s="1"/>
  <c r="AJ78" i="1"/>
  <c r="CX78" i="1" s="1"/>
  <c r="W78" i="1" s="1"/>
  <c r="CS78" i="1"/>
  <c r="V129" i="5" s="1"/>
  <c r="FR78" i="1"/>
  <c r="GL78" i="1"/>
  <c r="GN78" i="1"/>
  <c r="GO78" i="1"/>
  <c r="GV78" i="1"/>
  <c r="HC78" i="1" s="1"/>
  <c r="GX78" i="1" s="1"/>
  <c r="C79" i="1"/>
  <c r="D79" i="1"/>
  <c r="I79" i="1"/>
  <c r="I81" i="1" s="1"/>
  <c r="AC79" i="1"/>
  <c r="AE79" i="1"/>
  <c r="AF79" i="1"/>
  <c r="AG79" i="1"/>
  <c r="CU79" i="1" s="1"/>
  <c r="AH79" i="1"/>
  <c r="CV79" i="1" s="1"/>
  <c r="U79" i="1" s="1"/>
  <c r="AI79" i="1"/>
  <c r="CW79" i="1" s="1"/>
  <c r="AJ79" i="1"/>
  <c r="CX79" i="1" s="1"/>
  <c r="CT79" i="1"/>
  <c r="FR79" i="1"/>
  <c r="GL79" i="1"/>
  <c r="GN79" i="1"/>
  <c r="GO79" i="1"/>
  <c r="GV79" i="1"/>
  <c r="HC79" i="1" s="1"/>
  <c r="GX79" i="1" s="1"/>
  <c r="C80" i="1"/>
  <c r="D80" i="1"/>
  <c r="AC80" i="1"/>
  <c r="CQ80" i="1" s="1"/>
  <c r="AD80" i="1"/>
  <c r="AE80" i="1"/>
  <c r="CR80" i="1" s="1"/>
  <c r="AF80" i="1"/>
  <c r="AG80" i="1"/>
  <c r="CU80" i="1" s="1"/>
  <c r="AH80" i="1"/>
  <c r="CV80" i="1" s="1"/>
  <c r="AI80" i="1"/>
  <c r="CW80" i="1" s="1"/>
  <c r="AJ80" i="1"/>
  <c r="CX80" i="1" s="1"/>
  <c r="CS80" i="1"/>
  <c r="FR80" i="1"/>
  <c r="GL80" i="1"/>
  <c r="GN80" i="1"/>
  <c r="GO80" i="1"/>
  <c r="GV80" i="1"/>
  <c r="HC80" i="1" s="1"/>
  <c r="AC81" i="1"/>
  <c r="AE81" i="1"/>
  <c r="CR81" i="1" s="1"/>
  <c r="AF81" i="1"/>
  <c r="CT81" i="1" s="1"/>
  <c r="AG81" i="1"/>
  <c r="CU81" i="1" s="1"/>
  <c r="AH81" i="1"/>
  <c r="CV81" i="1" s="1"/>
  <c r="AI81" i="1"/>
  <c r="CW81" i="1" s="1"/>
  <c r="AJ81" i="1"/>
  <c r="CX81" i="1" s="1"/>
  <c r="FR81" i="1"/>
  <c r="GL81" i="1"/>
  <c r="GO81" i="1"/>
  <c r="GP81" i="1"/>
  <c r="GV81" i="1"/>
  <c r="HC81" i="1" s="1"/>
  <c r="C82" i="1"/>
  <c r="D82" i="1"/>
  <c r="I82" i="1"/>
  <c r="T18" i="7" s="1"/>
  <c r="AC82" i="1"/>
  <c r="AE82" i="1"/>
  <c r="AF82" i="1"/>
  <c r="AG82" i="1"/>
  <c r="CU82" i="1" s="1"/>
  <c r="AH82" i="1"/>
  <c r="AI82" i="1"/>
  <c r="CW82" i="1" s="1"/>
  <c r="AJ82" i="1"/>
  <c r="CX82" i="1" s="1"/>
  <c r="W82" i="1" s="1"/>
  <c r="CT82" i="1"/>
  <c r="S82" i="1" s="1"/>
  <c r="J150" i="5" s="1"/>
  <c r="CV82" i="1"/>
  <c r="U82" i="1" s="1"/>
  <c r="K157" i="5" s="1"/>
  <c r="FR82" i="1"/>
  <c r="GL82" i="1"/>
  <c r="GN82" i="1"/>
  <c r="GO82" i="1"/>
  <c r="GV82" i="1"/>
  <c r="HC82" i="1"/>
  <c r="GX82" i="1" s="1"/>
  <c r="C83" i="1"/>
  <c r="D83" i="1"/>
  <c r="O20" i="7"/>
  <c r="F21" i="6" s="1"/>
  <c r="AC83" i="1"/>
  <c r="AE83" i="1"/>
  <c r="AF83" i="1"/>
  <c r="AG83" i="1"/>
  <c r="CU83" i="1" s="1"/>
  <c r="AH83" i="1"/>
  <c r="CV83" i="1" s="1"/>
  <c r="U83" i="1" s="1"/>
  <c r="K168" i="5" s="1"/>
  <c r="AI83" i="1"/>
  <c r="CW83" i="1" s="1"/>
  <c r="V83" i="1" s="1"/>
  <c r="AJ83" i="1"/>
  <c r="CR83" i="1"/>
  <c r="Q83" i="1" s="1"/>
  <c r="J162" i="5" s="1"/>
  <c r="CT83" i="1"/>
  <c r="S83" i="1" s="1"/>
  <c r="J161" i="5" s="1"/>
  <c r="CX83" i="1"/>
  <c r="W83" i="1" s="1"/>
  <c r="FR83" i="1"/>
  <c r="GL83" i="1"/>
  <c r="GN83" i="1"/>
  <c r="GO83" i="1"/>
  <c r="GV83" i="1"/>
  <c r="HC83" i="1"/>
  <c r="GX83" i="1" s="1"/>
  <c r="C84" i="1"/>
  <c r="D84" i="1"/>
  <c r="AC84" i="1"/>
  <c r="AE84" i="1"/>
  <c r="AF84" i="1"/>
  <c r="CT84" i="1" s="1"/>
  <c r="S84" i="1" s="1"/>
  <c r="J172" i="5" s="1"/>
  <c r="AG84" i="1"/>
  <c r="CU84" i="1" s="1"/>
  <c r="T84" i="1" s="1"/>
  <c r="AH84" i="1"/>
  <c r="CV84" i="1" s="1"/>
  <c r="U84" i="1" s="1"/>
  <c r="K181" i="5" s="1"/>
  <c r="AI84" i="1"/>
  <c r="CW84" i="1" s="1"/>
  <c r="AJ84" i="1"/>
  <c r="CX84" i="1" s="1"/>
  <c r="W84" i="1" s="1"/>
  <c r="FR84" i="1"/>
  <c r="GL84" i="1"/>
  <c r="GN84" i="1"/>
  <c r="GO84" i="1"/>
  <c r="GV84" i="1"/>
  <c r="HC84" i="1"/>
  <c r="GX84" i="1" s="1"/>
  <c r="I85" i="1"/>
  <c r="E176" i="5" s="1"/>
  <c r="AC85" i="1"/>
  <c r="AE85" i="1"/>
  <c r="CR85" i="1" s="1"/>
  <c r="AF85" i="1"/>
  <c r="CT85" i="1" s="1"/>
  <c r="AG85" i="1"/>
  <c r="CU85" i="1" s="1"/>
  <c r="AH85" i="1"/>
  <c r="CV85" i="1" s="1"/>
  <c r="AI85" i="1"/>
  <c r="CW85" i="1" s="1"/>
  <c r="AJ85" i="1"/>
  <c r="CX85" i="1" s="1"/>
  <c r="FR85" i="1"/>
  <c r="GL85" i="1"/>
  <c r="GN85" i="1"/>
  <c r="GO85" i="1"/>
  <c r="GV85" i="1"/>
  <c r="HC85" i="1" s="1"/>
  <c r="I86" i="1"/>
  <c r="E177" i="5" s="1"/>
  <c r="AC86" i="1"/>
  <c r="AE86" i="1"/>
  <c r="CR86" i="1" s="1"/>
  <c r="Q86" i="1" s="1"/>
  <c r="AF86" i="1"/>
  <c r="AG86" i="1"/>
  <c r="CU86" i="1" s="1"/>
  <c r="T86" i="1" s="1"/>
  <c r="AH86" i="1"/>
  <c r="AI86" i="1"/>
  <c r="CW86" i="1" s="1"/>
  <c r="V86" i="1" s="1"/>
  <c r="AJ86" i="1"/>
  <c r="CT86" i="1"/>
  <c r="S86" i="1" s="1"/>
  <c r="CV86" i="1"/>
  <c r="CX86" i="1"/>
  <c r="W86" i="1" s="1"/>
  <c r="FR86" i="1"/>
  <c r="GL86" i="1"/>
  <c r="GN86" i="1"/>
  <c r="GO86" i="1"/>
  <c r="GV86" i="1"/>
  <c r="HC86" i="1" s="1"/>
  <c r="GX86" i="1" s="1"/>
  <c r="B88" i="1"/>
  <c r="B74" i="1" s="1"/>
  <c r="C88" i="1"/>
  <c r="C74" i="1" s="1"/>
  <c r="D88" i="1"/>
  <c r="D74" i="1" s="1"/>
  <c r="F88" i="1"/>
  <c r="F74" i="1" s="1"/>
  <c r="G88" i="1"/>
  <c r="AO88" i="1"/>
  <c r="BX88" i="1"/>
  <c r="BX74" i="1" s="1"/>
  <c r="CK88" i="1"/>
  <c r="CL88" i="1"/>
  <c r="CL74" i="1" s="1"/>
  <c r="D120" i="1"/>
  <c r="E122" i="1"/>
  <c r="Z122" i="1"/>
  <c r="AA122" i="1"/>
  <c r="AM122" i="1"/>
  <c r="AN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DQ122" i="1"/>
  <c r="DR122" i="1"/>
  <c r="DS122" i="1"/>
  <c r="DT122" i="1"/>
  <c r="DU122" i="1"/>
  <c r="DV122" i="1"/>
  <c r="DW122" i="1"/>
  <c r="DX122" i="1"/>
  <c r="DY122" i="1"/>
  <c r="DZ122" i="1"/>
  <c r="EA122" i="1"/>
  <c r="EB122" i="1"/>
  <c r="EC122" i="1"/>
  <c r="ED122" i="1"/>
  <c r="EE122" i="1"/>
  <c r="EF122" i="1"/>
  <c r="EG122" i="1"/>
  <c r="EH122" i="1"/>
  <c r="EI122" i="1"/>
  <c r="EJ122" i="1"/>
  <c r="EK122" i="1"/>
  <c r="EL122" i="1"/>
  <c r="EM122" i="1"/>
  <c r="EN122" i="1"/>
  <c r="EO122" i="1"/>
  <c r="EP122" i="1"/>
  <c r="EQ122" i="1"/>
  <c r="ER122" i="1"/>
  <c r="ES122" i="1"/>
  <c r="ET122" i="1"/>
  <c r="EU122" i="1"/>
  <c r="EV122" i="1"/>
  <c r="EW122" i="1"/>
  <c r="EX122" i="1"/>
  <c r="EY122" i="1"/>
  <c r="EZ122" i="1"/>
  <c r="FA122" i="1"/>
  <c r="FB122" i="1"/>
  <c r="FC122" i="1"/>
  <c r="FD122" i="1"/>
  <c r="FE122" i="1"/>
  <c r="FF122" i="1"/>
  <c r="FG122" i="1"/>
  <c r="FH122" i="1"/>
  <c r="FI122" i="1"/>
  <c r="FJ122" i="1"/>
  <c r="FK122" i="1"/>
  <c r="FL122" i="1"/>
  <c r="FM122" i="1"/>
  <c r="FN122" i="1"/>
  <c r="FO122" i="1"/>
  <c r="FP122" i="1"/>
  <c r="FQ122" i="1"/>
  <c r="FR122" i="1"/>
  <c r="FS122" i="1"/>
  <c r="FT122" i="1"/>
  <c r="FU122" i="1"/>
  <c r="FV122" i="1"/>
  <c r="FW122" i="1"/>
  <c r="FX122" i="1"/>
  <c r="FY122" i="1"/>
  <c r="FZ122" i="1"/>
  <c r="GA122" i="1"/>
  <c r="GB122" i="1"/>
  <c r="GC122" i="1"/>
  <c r="GD122" i="1"/>
  <c r="GE122" i="1"/>
  <c r="GF122" i="1"/>
  <c r="GG122" i="1"/>
  <c r="GH122" i="1"/>
  <c r="GI122" i="1"/>
  <c r="GJ122" i="1"/>
  <c r="GK122" i="1"/>
  <c r="GL122" i="1"/>
  <c r="GM122" i="1"/>
  <c r="GN122" i="1"/>
  <c r="GO122" i="1"/>
  <c r="GP122" i="1"/>
  <c r="GQ122" i="1"/>
  <c r="GR122" i="1"/>
  <c r="GS122" i="1"/>
  <c r="GT122" i="1"/>
  <c r="GU122" i="1"/>
  <c r="GV122" i="1"/>
  <c r="GW122" i="1"/>
  <c r="GX122" i="1"/>
  <c r="C124" i="1"/>
  <c r="D124" i="1"/>
  <c r="I124" i="1"/>
  <c r="AC124" i="1"/>
  <c r="AE124" i="1"/>
  <c r="AF124" i="1"/>
  <c r="AG124" i="1"/>
  <c r="CU124" i="1" s="1"/>
  <c r="T124" i="1" s="1"/>
  <c r="AH124" i="1"/>
  <c r="CV124" i="1" s="1"/>
  <c r="U124" i="1" s="1"/>
  <c r="K196" i="5" s="1"/>
  <c r="AI124" i="1"/>
  <c r="CW124" i="1" s="1"/>
  <c r="V124" i="1" s="1"/>
  <c r="AJ124" i="1"/>
  <c r="CX124" i="1" s="1"/>
  <c r="W124" i="1" s="1"/>
  <c r="CQ124" i="1"/>
  <c r="P124" i="1" s="1"/>
  <c r="FR124" i="1"/>
  <c r="GL124" i="1"/>
  <c r="GN124" i="1"/>
  <c r="GO124" i="1"/>
  <c r="GV124" i="1"/>
  <c r="HC124" i="1" s="1"/>
  <c r="GX124" i="1" s="1"/>
  <c r="C125" i="1"/>
  <c r="D125" i="1"/>
  <c r="I125" i="1"/>
  <c r="AC125" i="1"/>
  <c r="AE125" i="1"/>
  <c r="AD125" i="1" s="1"/>
  <c r="AF125" i="1"/>
  <c r="AG125" i="1"/>
  <c r="AH125" i="1"/>
  <c r="CV125" i="1" s="1"/>
  <c r="AI125" i="1"/>
  <c r="CW125" i="1" s="1"/>
  <c r="V125" i="1" s="1"/>
  <c r="AJ125" i="1"/>
  <c r="CX125" i="1" s="1"/>
  <c r="W125" i="1" s="1"/>
  <c r="CQ125" i="1"/>
  <c r="CR125" i="1"/>
  <c r="CS125" i="1"/>
  <c r="CU125" i="1"/>
  <c r="T125" i="1" s="1"/>
  <c r="FR125" i="1"/>
  <c r="GL125" i="1"/>
  <c r="GN125" i="1"/>
  <c r="GO125" i="1"/>
  <c r="GV125" i="1"/>
  <c r="HC125" i="1" s="1"/>
  <c r="GX125" i="1" s="1"/>
  <c r="C126" i="1"/>
  <c r="D126" i="1"/>
  <c r="I126" i="1"/>
  <c r="AC126" i="1"/>
  <c r="CQ126" i="1" s="1"/>
  <c r="P126" i="1" s="1"/>
  <c r="AE126" i="1"/>
  <c r="U205" i="5" s="1"/>
  <c r="AF126" i="1"/>
  <c r="AG126" i="1"/>
  <c r="CU126" i="1" s="1"/>
  <c r="T126" i="1" s="1"/>
  <c r="AH126" i="1"/>
  <c r="CV126" i="1" s="1"/>
  <c r="U126" i="1" s="1"/>
  <c r="AI126" i="1"/>
  <c r="AJ126" i="1"/>
  <c r="CX126" i="1" s="1"/>
  <c r="CS126" i="1"/>
  <c r="CW126" i="1"/>
  <c r="V126" i="1" s="1"/>
  <c r="FR126" i="1"/>
  <c r="GL126" i="1"/>
  <c r="GN126" i="1"/>
  <c r="GO126" i="1"/>
  <c r="GV126" i="1"/>
  <c r="HC126" i="1" s="1"/>
  <c r="GX126" i="1" s="1"/>
  <c r="C127" i="1"/>
  <c r="D127" i="1"/>
  <c r="AC127" i="1"/>
  <c r="AD127" i="1"/>
  <c r="AE127" i="1"/>
  <c r="AF127" i="1"/>
  <c r="AG127" i="1"/>
  <c r="AH127" i="1"/>
  <c r="CV127" i="1" s="1"/>
  <c r="AI127" i="1"/>
  <c r="CW127" i="1" s="1"/>
  <c r="AJ127" i="1"/>
  <c r="CX127" i="1" s="1"/>
  <c r="CQ127" i="1"/>
  <c r="CR127" i="1"/>
  <c r="CS127" i="1"/>
  <c r="CU127" i="1"/>
  <c r="FR127" i="1"/>
  <c r="GL127" i="1"/>
  <c r="GN127" i="1"/>
  <c r="GO127" i="1"/>
  <c r="GV127" i="1"/>
  <c r="HC127" i="1" s="1"/>
  <c r="C128" i="1"/>
  <c r="D128" i="1"/>
  <c r="AC128" i="1"/>
  <c r="AE128" i="1"/>
  <c r="AF128" i="1"/>
  <c r="AG128" i="1"/>
  <c r="CU128" i="1" s="1"/>
  <c r="AH128" i="1"/>
  <c r="CV128" i="1" s="1"/>
  <c r="AI128" i="1"/>
  <c r="CW128" i="1" s="1"/>
  <c r="AJ128" i="1"/>
  <c r="CX128" i="1" s="1"/>
  <c r="CT128" i="1"/>
  <c r="FR128" i="1"/>
  <c r="GL128" i="1"/>
  <c r="GN128" i="1"/>
  <c r="GO128" i="1"/>
  <c r="CC134" i="1" s="1"/>
  <c r="CC122" i="1" s="1"/>
  <c r="GV128" i="1"/>
  <c r="HC128" i="1" s="1"/>
  <c r="C129" i="1"/>
  <c r="D129" i="1"/>
  <c r="AC129" i="1"/>
  <c r="AE129" i="1"/>
  <c r="AD129" i="1" s="1"/>
  <c r="AB129" i="1" s="1"/>
  <c r="AF129" i="1"/>
  <c r="AG129" i="1"/>
  <c r="AH129" i="1"/>
  <c r="CV129" i="1" s="1"/>
  <c r="AI129" i="1"/>
  <c r="CW129" i="1" s="1"/>
  <c r="AJ129" i="1"/>
  <c r="CX129" i="1" s="1"/>
  <c r="CQ129" i="1"/>
  <c r="CR129" i="1"/>
  <c r="CS129" i="1"/>
  <c r="CU129" i="1"/>
  <c r="FR129" i="1"/>
  <c r="GL129" i="1"/>
  <c r="GN129" i="1"/>
  <c r="GO129" i="1"/>
  <c r="GV129" i="1"/>
  <c r="HC129" i="1" s="1"/>
  <c r="AC130" i="1"/>
  <c r="AE130" i="1"/>
  <c r="AF130" i="1"/>
  <c r="AG130" i="1"/>
  <c r="CU130" i="1" s="1"/>
  <c r="AH130" i="1"/>
  <c r="CV130" i="1" s="1"/>
  <c r="AI130" i="1"/>
  <c r="CW130" i="1" s="1"/>
  <c r="AJ130" i="1"/>
  <c r="CR130" i="1"/>
  <c r="CX130" i="1"/>
  <c r="FR130" i="1"/>
  <c r="GL130" i="1"/>
  <c r="GO130" i="1"/>
  <c r="GP130" i="1"/>
  <c r="GV130" i="1"/>
  <c r="HC130" i="1" s="1"/>
  <c r="C131" i="1"/>
  <c r="D131" i="1"/>
  <c r="I131" i="1"/>
  <c r="AC131" i="1"/>
  <c r="AE131" i="1"/>
  <c r="CR131" i="1" s="1"/>
  <c r="Q131" i="1" s="1"/>
  <c r="J229" i="5" s="1"/>
  <c r="AF131" i="1"/>
  <c r="AG131" i="1"/>
  <c r="CU131" i="1" s="1"/>
  <c r="AH131" i="1"/>
  <c r="CV131" i="1" s="1"/>
  <c r="AI131" i="1"/>
  <c r="CW131" i="1" s="1"/>
  <c r="AJ131" i="1"/>
  <c r="CX131" i="1" s="1"/>
  <c r="FR131" i="1"/>
  <c r="GL131" i="1"/>
  <c r="GN131" i="1"/>
  <c r="GO131" i="1"/>
  <c r="GV131" i="1"/>
  <c r="HC131" i="1" s="1"/>
  <c r="C132" i="1"/>
  <c r="D132" i="1"/>
  <c r="I132" i="1"/>
  <c r="T27" i="7" s="1"/>
  <c r="AC132" i="1"/>
  <c r="AE132" i="1"/>
  <c r="CR132" i="1" s="1"/>
  <c r="Q132" i="1" s="1"/>
  <c r="J240" i="5" s="1"/>
  <c r="AF132" i="1"/>
  <c r="AG132" i="1"/>
  <c r="CU132" i="1" s="1"/>
  <c r="AH132" i="1"/>
  <c r="CV132" i="1" s="1"/>
  <c r="AI132" i="1"/>
  <c r="CW132" i="1" s="1"/>
  <c r="AJ132" i="1"/>
  <c r="CX132" i="1"/>
  <c r="W132" i="1" s="1"/>
  <c r="FR132" i="1"/>
  <c r="GL132" i="1"/>
  <c r="GN132" i="1"/>
  <c r="GO132" i="1"/>
  <c r="GV132" i="1"/>
  <c r="HC132" i="1" s="1"/>
  <c r="GX132" i="1" s="1"/>
  <c r="B134" i="1"/>
  <c r="B122" i="1" s="1"/>
  <c r="C134" i="1"/>
  <c r="C122" i="1" s="1"/>
  <c r="D134" i="1"/>
  <c r="D122" i="1" s="1"/>
  <c r="F134" i="1"/>
  <c r="F122" i="1" s="1"/>
  <c r="G134" i="1"/>
  <c r="BX134" i="1"/>
  <c r="BX122" i="1" s="1"/>
  <c r="CK134" i="1"/>
  <c r="CK122" i="1" s="1"/>
  <c r="CL134" i="1"/>
  <c r="CL122" i="1" s="1"/>
  <c r="D166" i="1"/>
  <c r="E168" i="1"/>
  <c r="Z168" i="1"/>
  <c r="AA168" i="1"/>
  <c r="AM168" i="1"/>
  <c r="AN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EF168" i="1"/>
  <c r="EG168" i="1"/>
  <c r="EH168" i="1"/>
  <c r="EI168" i="1"/>
  <c r="EJ168" i="1"/>
  <c r="EK168" i="1"/>
  <c r="EL168" i="1"/>
  <c r="EM168" i="1"/>
  <c r="EN168" i="1"/>
  <c r="EO168" i="1"/>
  <c r="EP168" i="1"/>
  <c r="EQ168" i="1"/>
  <c r="ER168" i="1"/>
  <c r="ES168" i="1"/>
  <c r="ET168" i="1"/>
  <c r="EU168" i="1"/>
  <c r="EV168" i="1"/>
  <c r="EW168" i="1"/>
  <c r="EX168" i="1"/>
  <c r="EY168" i="1"/>
  <c r="EZ168" i="1"/>
  <c r="FA168" i="1"/>
  <c r="FB168" i="1"/>
  <c r="FC168" i="1"/>
  <c r="FD168" i="1"/>
  <c r="FE168" i="1"/>
  <c r="FF168" i="1"/>
  <c r="FG168" i="1"/>
  <c r="FH168" i="1"/>
  <c r="FI168" i="1"/>
  <c r="FJ168" i="1"/>
  <c r="FK168" i="1"/>
  <c r="FL168" i="1"/>
  <c r="FM168" i="1"/>
  <c r="FN168" i="1"/>
  <c r="FO168" i="1"/>
  <c r="FP168" i="1"/>
  <c r="FQ168" i="1"/>
  <c r="FR168" i="1"/>
  <c r="FS168" i="1"/>
  <c r="FT168" i="1"/>
  <c r="FU168" i="1"/>
  <c r="FV168" i="1"/>
  <c r="FW168" i="1"/>
  <c r="FX168" i="1"/>
  <c r="FY168" i="1"/>
  <c r="FZ168" i="1"/>
  <c r="GA168" i="1"/>
  <c r="GB168" i="1"/>
  <c r="GC168" i="1"/>
  <c r="GD168" i="1"/>
  <c r="GE168" i="1"/>
  <c r="GF168" i="1"/>
  <c r="GG168" i="1"/>
  <c r="GH168" i="1"/>
  <c r="GI168" i="1"/>
  <c r="GJ168" i="1"/>
  <c r="GK168" i="1"/>
  <c r="GL168" i="1"/>
  <c r="GM168" i="1"/>
  <c r="GN168" i="1"/>
  <c r="GO168" i="1"/>
  <c r="GP168" i="1"/>
  <c r="GQ168" i="1"/>
  <c r="GR168" i="1"/>
  <c r="GS168" i="1"/>
  <c r="GT168" i="1"/>
  <c r="GU168" i="1"/>
  <c r="GV168" i="1"/>
  <c r="GW168" i="1"/>
  <c r="GX168" i="1"/>
  <c r="C170" i="1"/>
  <c r="D170" i="1"/>
  <c r="I170" i="1"/>
  <c r="R170" i="1" s="1"/>
  <c r="AC170" i="1"/>
  <c r="AD170" i="1"/>
  <c r="AE170" i="1"/>
  <c r="AF170" i="1"/>
  <c r="AG170" i="1"/>
  <c r="CU170" i="1" s="1"/>
  <c r="AH170" i="1"/>
  <c r="CV170" i="1" s="1"/>
  <c r="AI170" i="1"/>
  <c r="CW170" i="1" s="1"/>
  <c r="V170" i="1" s="1"/>
  <c r="AJ170" i="1"/>
  <c r="CX170" i="1" s="1"/>
  <c r="CQ170" i="1"/>
  <c r="CR170" i="1"/>
  <c r="CS170" i="1"/>
  <c r="FR170" i="1"/>
  <c r="GL170" i="1"/>
  <c r="GN170" i="1"/>
  <c r="GO170" i="1"/>
  <c r="GV170" i="1"/>
  <c r="HC170" i="1" s="1"/>
  <c r="C171" i="1"/>
  <c r="D171" i="1"/>
  <c r="I171" i="1"/>
  <c r="AC171" i="1"/>
  <c r="AE171" i="1"/>
  <c r="AD171" i="1" s="1"/>
  <c r="AF171" i="1"/>
  <c r="AG171" i="1"/>
  <c r="AH171" i="1"/>
  <c r="CV171" i="1" s="1"/>
  <c r="U171" i="1" s="1"/>
  <c r="K274" i="5" s="1"/>
  <c r="AI171" i="1"/>
  <c r="CW171" i="1" s="1"/>
  <c r="AJ171" i="1"/>
  <c r="CX171" i="1" s="1"/>
  <c r="W171" i="1" s="1"/>
  <c r="CQ171" i="1"/>
  <c r="P171" i="1" s="1"/>
  <c r="CS171" i="1"/>
  <c r="CU171" i="1"/>
  <c r="T171" i="1" s="1"/>
  <c r="FR171" i="1"/>
  <c r="GL171" i="1"/>
  <c r="GN171" i="1"/>
  <c r="GO171" i="1"/>
  <c r="GV171" i="1"/>
  <c r="HC171" i="1"/>
  <c r="C172" i="1"/>
  <c r="D172" i="1"/>
  <c r="I172" i="1"/>
  <c r="AC172" i="1"/>
  <c r="AD172" i="1"/>
  <c r="AE172" i="1"/>
  <c r="AF172" i="1"/>
  <c r="AG172" i="1"/>
  <c r="CU172" i="1" s="1"/>
  <c r="AH172" i="1"/>
  <c r="CV172" i="1" s="1"/>
  <c r="AI172" i="1"/>
  <c r="CW172" i="1" s="1"/>
  <c r="V172" i="1" s="1"/>
  <c r="AJ172" i="1"/>
  <c r="CX172" i="1" s="1"/>
  <c r="CQ172" i="1"/>
  <c r="CR172" i="1"/>
  <c r="CS172" i="1"/>
  <c r="R172" i="1" s="1"/>
  <c r="GK172" i="1" s="1"/>
  <c r="FR172" i="1"/>
  <c r="GL172" i="1"/>
  <c r="GN172" i="1"/>
  <c r="GO172" i="1"/>
  <c r="GV172" i="1"/>
  <c r="HC172" i="1"/>
  <c r="C173" i="1"/>
  <c r="D173" i="1"/>
  <c r="I173" i="1"/>
  <c r="AC173" i="1"/>
  <c r="AE173" i="1"/>
  <c r="CS173" i="1" s="1"/>
  <c r="AF173" i="1"/>
  <c r="AG173" i="1"/>
  <c r="CU173" i="1" s="1"/>
  <c r="AH173" i="1"/>
  <c r="CV173" i="1" s="1"/>
  <c r="AI173" i="1"/>
  <c r="AJ173" i="1"/>
  <c r="CX173" i="1" s="1"/>
  <c r="CQ173" i="1"/>
  <c r="CW173" i="1"/>
  <c r="FR173" i="1"/>
  <c r="GL173" i="1"/>
  <c r="GN173" i="1"/>
  <c r="GO173" i="1"/>
  <c r="GV173" i="1"/>
  <c r="HC173" i="1" s="1"/>
  <c r="C174" i="1"/>
  <c r="D174" i="1"/>
  <c r="AC174" i="1"/>
  <c r="AE174" i="1"/>
  <c r="AF174" i="1"/>
  <c r="CT174" i="1" s="1"/>
  <c r="AG174" i="1"/>
  <c r="CU174" i="1" s="1"/>
  <c r="AH174" i="1"/>
  <c r="CV174" i="1" s="1"/>
  <c r="AI174" i="1"/>
  <c r="CW174" i="1" s="1"/>
  <c r="AJ174" i="1"/>
  <c r="CX174" i="1" s="1"/>
  <c r="FR174" i="1"/>
  <c r="GL174" i="1"/>
  <c r="GN174" i="1"/>
  <c r="GO174" i="1"/>
  <c r="GV174" i="1"/>
  <c r="HC174" i="1"/>
  <c r="AC175" i="1"/>
  <c r="AE175" i="1"/>
  <c r="AD175" i="1" s="1"/>
  <c r="AF175" i="1"/>
  <c r="AG175" i="1"/>
  <c r="CU175" i="1" s="1"/>
  <c r="AH175" i="1"/>
  <c r="CV175" i="1" s="1"/>
  <c r="AI175" i="1"/>
  <c r="AJ175" i="1"/>
  <c r="CX175" i="1" s="1"/>
  <c r="CQ175" i="1"/>
  <c r="CS175" i="1"/>
  <c r="CW175" i="1"/>
  <c r="FR175" i="1"/>
  <c r="GL175" i="1"/>
  <c r="GO175" i="1"/>
  <c r="GP175" i="1"/>
  <c r="GV175" i="1"/>
  <c r="HC175" i="1" s="1"/>
  <c r="C176" i="1"/>
  <c r="D176" i="1"/>
  <c r="I176" i="1"/>
  <c r="M31" i="7" s="1"/>
  <c r="AC176" i="1"/>
  <c r="AE176" i="1"/>
  <c r="AF176" i="1"/>
  <c r="AG176" i="1"/>
  <c r="CU176" i="1" s="1"/>
  <c r="T176" i="1" s="1"/>
  <c r="AH176" i="1"/>
  <c r="AI176" i="1"/>
  <c r="CW176" i="1" s="1"/>
  <c r="V176" i="1" s="1"/>
  <c r="AJ176" i="1"/>
  <c r="CQ176" i="1"/>
  <c r="P176" i="1" s="1"/>
  <c r="CV176" i="1"/>
  <c r="CX176" i="1"/>
  <c r="W176" i="1" s="1"/>
  <c r="FR176" i="1"/>
  <c r="GL176" i="1"/>
  <c r="GN176" i="1"/>
  <c r="GO176" i="1"/>
  <c r="GV176" i="1"/>
  <c r="HC176" i="1" s="1"/>
  <c r="GX176" i="1" s="1"/>
  <c r="C177" i="1"/>
  <c r="D177" i="1"/>
  <c r="I177" i="1"/>
  <c r="T32" i="7" s="1"/>
  <c r="AC177" i="1"/>
  <c r="AE177" i="1"/>
  <c r="AF177" i="1"/>
  <c r="AG177" i="1"/>
  <c r="CU177" i="1" s="1"/>
  <c r="AH177" i="1"/>
  <c r="CV177" i="1" s="1"/>
  <c r="U177" i="1" s="1"/>
  <c r="K312" i="5" s="1"/>
  <c r="AI177" i="1"/>
  <c r="CW177" i="1" s="1"/>
  <c r="AJ177" i="1"/>
  <c r="CX177" i="1" s="1"/>
  <c r="CT177" i="1"/>
  <c r="S177" i="1" s="1"/>
  <c r="J308" i="5" s="1"/>
  <c r="FR177" i="1"/>
  <c r="GL177" i="1"/>
  <c r="GN177" i="1"/>
  <c r="GO177" i="1"/>
  <c r="GV177" i="1"/>
  <c r="HC177" i="1"/>
  <c r="C178" i="1"/>
  <c r="D178" i="1"/>
  <c r="I178" i="1"/>
  <c r="O33" i="7" s="1"/>
  <c r="AC178" i="1"/>
  <c r="AE178" i="1"/>
  <c r="AF178" i="1"/>
  <c r="AG178" i="1"/>
  <c r="CU178" i="1" s="1"/>
  <c r="AH178" i="1"/>
  <c r="CV178" i="1" s="1"/>
  <c r="AI178" i="1"/>
  <c r="CW178" i="1" s="1"/>
  <c r="V178" i="1" s="1"/>
  <c r="AJ178" i="1"/>
  <c r="CT178" i="1"/>
  <c r="S178" i="1" s="1"/>
  <c r="J316" i="5" s="1"/>
  <c r="CX178" i="1"/>
  <c r="W178" i="1" s="1"/>
  <c r="FR178" i="1"/>
  <c r="GL178" i="1"/>
  <c r="GN178" i="1"/>
  <c r="GO178" i="1"/>
  <c r="GV178" i="1"/>
  <c r="HC178" i="1" s="1"/>
  <c r="GX178" i="1" s="1"/>
  <c r="C179" i="1"/>
  <c r="D179" i="1"/>
  <c r="I179" i="1"/>
  <c r="R34" i="7" s="1"/>
  <c r="AC179" i="1"/>
  <c r="AE179" i="1"/>
  <c r="AF179" i="1"/>
  <c r="AG179" i="1"/>
  <c r="CU179" i="1" s="1"/>
  <c r="T179" i="1" s="1"/>
  <c r="AH179" i="1"/>
  <c r="AI179" i="1"/>
  <c r="CW179" i="1" s="1"/>
  <c r="AJ179" i="1"/>
  <c r="CX179" i="1" s="1"/>
  <c r="CT179" i="1"/>
  <c r="S179" i="1" s="1"/>
  <c r="J324" i="5" s="1"/>
  <c r="CV179" i="1"/>
  <c r="FR179" i="1"/>
  <c r="GL179" i="1"/>
  <c r="GN179" i="1"/>
  <c r="GO179" i="1"/>
  <c r="GV179" i="1"/>
  <c r="HC179" i="1" s="1"/>
  <c r="GX179" i="1" s="1"/>
  <c r="B181" i="1"/>
  <c r="B168" i="1" s="1"/>
  <c r="C181" i="1"/>
  <c r="C168" i="1" s="1"/>
  <c r="D181" i="1"/>
  <c r="D168" i="1" s="1"/>
  <c r="F181" i="1"/>
  <c r="F168" i="1" s="1"/>
  <c r="G181" i="1"/>
  <c r="BX181" i="1"/>
  <c r="CK181" i="1"/>
  <c r="CK168" i="1" s="1"/>
  <c r="CL181" i="1"/>
  <c r="D251" i="1"/>
  <c r="E253" i="1"/>
  <c r="Z253" i="1"/>
  <c r="AA253" i="1"/>
  <c r="AM253" i="1"/>
  <c r="AN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CZ253" i="1"/>
  <c r="DA253" i="1"/>
  <c r="DB253" i="1"/>
  <c r="DC253" i="1"/>
  <c r="DD253" i="1"/>
  <c r="DE253" i="1"/>
  <c r="DF253" i="1"/>
  <c r="DG253" i="1"/>
  <c r="DH253" i="1"/>
  <c r="DI253" i="1"/>
  <c r="DJ253" i="1"/>
  <c r="DK253" i="1"/>
  <c r="DL253" i="1"/>
  <c r="DM253" i="1"/>
  <c r="DN253" i="1"/>
  <c r="DO253" i="1"/>
  <c r="DP253" i="1"/>
  <c r="DQ253" i="1"/>
  <c r="DR253" i="1"/>
  <c r="DS253" i="1"/>
  <c r="DT253" i="1"/>
  <c r="DU253" i="1"/>
  <c r="DV253" i="1"/>
  <c r="DW253" i="1"/>
  <c r="DX253" i="1"/>
  <c r="DY253" i="1"/>
  <c r="DZ253" i="1"/>
  <c r="EA253" i="1"/>
  <c r="EB253" i="1"/>
  <c r="EC253" i="1"/>
  <c r="ED253" i="1"/>
  <c r="EE253" i="1"/>
  <c r="EF253" i="1"/>
  <c r="EG253" i="1"/>
  <c r="EH253" i="1"/>
  <c r="EI253" i="1"/>
  <c r="EJ253" i="1"/>
  <c r="EK253" i="1"/>
  <c r="EL253" i="1"/>
  <c r="EM253" i="1"/>
  <c r="EN253" i="1"/>
  <c r="EO253" i="1"/>
  <c r="EP253" i="1"/>
  <c r="EQ253" i="1"/>
  <c r="ER253" i="1"/>
  <c r="ES253" i="1"/>
  <c r="ET253" i="1"/>
  <c r="EU253" i="1"/>
  <c r="EV253" i="1"/>
  <c r="EW253" i="1"/>
  <c r="EX253" i="1"/>
  <c r="EY253" i="1"/>
  <c r="EZ253" i="1"/>
  <c r="FA253" i="1"/>
  <c r="FB253" i="1"/>
  <c r="FC253" i="1"/>
  <c r="FD253" i="1"/>
  <c r="FE253" i="1"/>
  <c r="FF253" i="1"/>
  <c r="FG253" i="1"/>
  <c r="FH253" i="1"/>
  <c r="FI253" i="1"/>
  <c r="FJ253" i="1"/>
  <c r="FK253" i="1"/>
  <c r="FL253" i="1"/>
  <c r="FM253" i="1"/>
  <c r="FN253" i="1"/>
  <c r="FO253" i="1"/>
  <c r="FP253" i="1"/>
  <c r="FQ253" i="1"/>
  <c r="FR253" i="1"/>
  <c r="FS253" i="1"/>
  <c r="FT253" i="1"/>
  <c r="FU253" i="1"/>
  <c r="FV253" i="1"/>
  <c r="FW253" i="1"/>
  <c r="FX253" i="1"/>
  <c r="FY253" i="1"/>
  <c r="FZ253" i="1"/>
  <c r="GA253" i="1"/>
  <c r="GB253" i="1"/>
  <c r="GC253" i="1"/>
  <c r="GD253" i="1"/>
  <c r="GE253" i="1"/>
  <c r="GF253" i="1"/>
  <c r="GG253" i="1"/>
  <c r="GH253" i="1"/>
  <c r="GI253" i="1"/>
  <c r="GJ253" i="1"/>
  <c r="GK253" i="1"/>
  <c r="GL253" i="1"/>
  <c r="GM253" i="1"/>
  <c r="GN253" i="1"/>
  <c r="GO253" i="1"/>
  <c r="GP253" i="1"/>
  <c r="GQ253" i="1"/>
  <c r="GR253" i="1"/>
  <c r="GS253" i="1"/>
  <c r="GT253" i="1"/>
  <c r="GU253" i="1"/>
  <c r="GV253" i="1"/>
  <c r="GW253" i="1"/>
  <c r="GX253" i="1"/>
  <c r="C255" i="1"/>
  <c r="D255" i="1"/>
  <c r="AC255" i="1"/>
  <c r="AD255" i="1"/>
  <c r="AE255" i="1"/>
  <c r="U377" i="5" s="1"/>
  <c r="AF255" i="1"/>
  <c r="AG255" i="1"/>
  <c r="CU255" i="1" s="1"/>
  <c r="T255" i="1" s="1"/>
  <c r="AH255" i="1"/>
  <c r="CV255" i="1" s="1"/>
  <c r="U255" i="1" s="1"/>
  <c r="K389" i="5" s="1"/>
  <c r="AI255" i="1"/>
  <c r="AJ255" i="1"/>
  <c r="CX255" i="1" s="1"/>
  <c r="W255" i="1" s="1"/>
  <c r="CQ255" i="1"/>
  <c r="P255" i="1" s="1"/>
  <c r="J382" i="5" s="1"/>
  <c r="CR255" i="1"/>
  <c r="Q255" i="1" s="1"/>
  <c r="J380" i="5" s="1"/>
  <c r="CS255" i="1"/>
  <c r="CW255" i="1"/>
  <c r="V255" i="1" s="1"/>
  <c r="FR255" i="1"/>
  <c r="GL255" i="1"/>
  <c r="GN255" i="1"/>
  <c r="GO255" i="1"/>
  <c r="GV255" i="1"/>
  <c r="HC255" i="1" s="1"/>
  <c r="GX255" i="1" s="1"/>
  <c r="I256" i="1"/>
  <c r="AC256" i="1"/>
  <c r="CQ256" i="1" s="1"/>
  <c r="P256" i="1" s="1"/>
  <c r="AE256" i="1"/>
  <c r="AF256" i="1"/>
  <c r="CT256" i="1" s="1"/>
  <c r="AG256" i="1"/>
  <c r="AH256" i="1"/>
  <c r="CV256" i="1" s="1"/>
  <c r="AI256" i="1"/>
  <c r="CW256" i="1" s="1"/>
  <c r="AJ256" i="1"/>
  <c r="CX256" i="1" s="1"/>
  <c r="CU256" i="1"/>
  <c r="FR256" i="1"/>
  <c r="GL256" i="1"/>
  <c r="GN256" i="1"/>
  <c r="GO256" i="1"/>
  <c r="GV256" i="1"/>
  <c r="HC256" i="1" s="1"/>
  <c r="I257" i="1"/>
  <c r="AC257" i="1"/>
  <c r="CQ257" i="1" s="1"/>
  <c r="AE257" i="1"/>
  <c r="AF257" i="1"/>
  <c r="CT257" i="1" s="1"/>
  <c r="AG257" i="1"/>
  <c r="CU257" i="1" s="1"/>
  <c r="AH257" i="1"/>
  <c r="CV257" i="1" s="1"/>
  <c r="AI257" i="1"/>
  <c r="CW257" i="1" s="1"/>
  <c r="AJ257" i="1"/>
  <c r="CX257" i="1" s="1"/>
  <c r="CS257" i="1"/>
  <c r="FR257" i="1"/>
  <c r="GL257" i="1"/>
  <c r="GN257" i="1"/>
  <c r="GO257" i="1"/>
  <c r="GV257" i="1"/>
  <c r="HC257" i="1" s="1"/>
  <c r="I258" i="1"/>
  <c r="AC258" i="1"/>
  <c r="CQ258" i="1" s="1"/>
  <c r="AE258" i="1"/>
  <c r="AF258" i="1"/>
  <c r="CT258" i="1" s="1"/>
  <c r="AG258" i="1"/>
  <c r="AH258" i="1"/>
  <c r="CV258" i="1" s="1"/>
  <c r="AI258" i="1"/>
  <c r="CW258" i="1" s="1"/>
  <c r="AJ258" i="1"/>
  <c r="CX258" i="1" s="1"/>
  <c r="CU258" i="1"/>
  <c r="FR258" i="1"/>
  <c r="GL258" i="1"/>
  <c r="GN258" i="1"/>
  <c r="GO258" i="1"/>
  <c r="GV258" i="1"/>
  <c r="HC258" i="1" s="1"/>
  <c r="B260" i="1"/>
  <c r="B253" i="1" s="1"/>
  <c r="C260" i="1"/>
  <c r="C253" i="1" s="1"/>
  <c r="D260" i="1"/>
  <c r="D253" i="1" s="1"/>
  <c r="F260" i="1"/>
  <c r="F253" i="1" s="1"/>
  <c r="G260" i="1"/>
  <c r="BX260" i="1"/>
  <c r="BX253" i="1" s="1"/>
  <c r="CK260" i="1"/>
  <c r="CK253" i="1" s="1"/>
  <c r="CL260" i="1"/>
  <c r="CL253" i="1" s="1"/>
  <c r="D292" i="1"/>
  <c r="E294" i="1"/>
  <c r="Z294" i="1"/>
  <c r="AA294" i="1"/>
  <c r="AM294" i="1"/>
  <c r="AN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D294" i="1"/>
  <c r="DE294" i="1"/>
  <c r="DF294" i="1"/>
  <c r="DG294" i="1"/>
  <c r="DH294" i="1"/>
  <c r="DI294" i="1"/>
  <c r="DJ294" i="1"/>
  <c r="DK294" i="1"/>
  <c r="DL294" i="1"/>
  <c r="DM294" i="1"/>
  <c r="DN294" i="1"/>
  <c r="DO294" i="1"/>
  <c r="DP294" i="1"/>
  <c r="DQ294" i="1"/>
  <c r="DR294" i="1"/>
  <c r="DS294" i="1"/>
  <c r="DT294" i="1"/>
  <c r="DU294" i="1"/>
  <c r="DV294" i="1"/>
  <c r="DW294" i="1"/>
  <c r="DX294" i="1"/>
  <c r="DY294" i="1"/>
  <c r="DZ294" i="1"/>
  <c r="EA294" i="1"/>
  <c r="EB294" i="1"/>
  <c r="EC294" i="1"/>
  <c r="ED294" i="1"/>
  <c r="EE294" i="1"/>
  <c r="EF294" i="1"/>
  <c r="EG294" i="1"/>
  <c r="EH294" i="1"/>
  <c r="EI294" i="1"/>
  <c r="EJ294" i="1"/>
  <c r="EK294" i="1"/>
  <c r="EL294" i="1"/>
  <c r="EM294" i="1"/>
  <c r="EN294" i="1"/>
  <c r="EO294" i="1"/>
  <c r="EP294" i="1"/>
  <c r="EQ294" i="1"/>
  <c r="ER294" i="1"/>
  <c r="ES294" i="1"/>
  <c r="ET294" i="1"/>
  <c r="EU294" i="1"/>
  <c r="EV294" i="1"/>
  <c r="EW294" i="1"/>
  <c r="EX294" i="1"/>
  <c r="EY294" i="1"/>
  <c r="EZ294" i="1"/>
  <c r="FA294" i="1"/>
  <c r="FB294" i="1"/>
  <c r="FC294" i="1"/>
  <c r="FD294" i="1"/>
  <c r="FE294" i="1"/>
  <c r="FF294" i="1"/>
  <c r="FG294" i="1"/>
  <c r="FH294" i="1"/>
  <c r="FI294" i="1"/>
  <c r="FJ294" i="1"/>
  <c r="FK294" i="1"/>
  <c r="FL294" i="1"/>
  <c r="FM294" i="1"/>
  <c r="FN294" i="1"/>
  <c r="FO294" i="1"/>
  <c r="FP294" i="1"/>
  <c r="FQ294" i="1"/>
  <c r="FR294" i="1"/>
  <c r="FS294" i="1"/>
  <c r="FT294" i="1"/>
  <c r="FU294" i="1"/>
  <c r="FV294" i="1"/>
  <c r="FW294" i="1"/>
  <c r="FX294" i="1"/>
  <c r="FY294" i="1"/>
  <c r="FZ294" i="1"/>
  <c r="GA294" i="1"/>
  <c r="GB294" i="1"/>
  <c r="GC294" i="1"/>
  <c r="GD294" i="1"/>
  <c r="GE294" i="1"/>
  <c r="GF294" i="1"/>
  <c r="GG294" i="1"/>
  <c r="GH294" i="1"/>
  <c r="GI294" i="1"/>
  <c r="GJ294" i="1"/>
  <c r="GK294" i="1"/>
  <c r="GL294" i="1"/>
  <c r="GM294" i="1"/>
  <c r="GN294" i="1"/>
  <c r="GO294" i="1"/>
  <c r="GP294" i="1"/>
  <c r="GQ294" i="1"/>
  <c r="GR294" i="1"/>
  <c r="GS294" i="1"/>
  <c r="GT294" i="1"/>
  <c r="GU294" i="1"/>
  <c r="GV294" i="1"/>
  <c r="GW294" i="1"/>
  <c r="GX294" i="1"/>
  <c r="C296" i="1"/>
  <c r="D296" i="1"/>
  <c r="I296" i="1"/>
  <c r="AC296" i="1"/>
  <c r="AE296" i="1"/>
  <c r="AF296" i="1"/>
  <c r="CT296" i="1" s="1"/>
  <c r="S296" i="1" s="1"/>
  <c r="J401" i="5" s="1"/>
  <c r="AG296" i="1"/>
  <c r="CU296" i="1" s="1"/>
  <c r="T296" i="1" s="1"/>
  <c r="AH296" i="1"/>
  <c r="CV296" i="1" s="1"/>
  <c r="U296" i="1" s="1"/>
  <c r="K407" i="5" s="1"/>
  <c r="AI296" i="1"/>
  <c r="CW296" i="1" s="1"/>
  <c r="V296" i="1" s="1"/>
  <c r="AJ296" i="1"/>
  <c r="CX296" i="1"/>
  <c r="W296" i="1" s="1"/>
  <c r="FR296" i="1"/>
  <c r="GL296" i="1"/>
  <c r="GN296" i="1"/>
  <c r="GO296" i="1"/>
  <c r="GV296" i="1"/>
  <c r="HC296" i="1" s="1"/>
  <c r="GX296" i="1" s="1"/>
  <c r="C297" i="1"/>
  <c r="D297" i="1"/>
  <c r="I297" i="1"/>
  <c r="AC297" i="1"/>
  <c r="AE297" i="1"/>
  <c r="AF297" i="1"/>
  <c r="CT297" i="1" s="1"/>
  <c r="S297" i="1" s="1"/>
  <c r="J411" i="5" s="1"/>
  <c r="AG297" i="1"/>
  <c r="CU297" i="1" s="1"/>
  <c r="AH297" i="1"/>
  <c r="AI297" i="1"/>
  <c r="CW297" i="1" s="1"/>
  <c r="AJ297" i="1"/>
  <c r="CX297" i="1" s="1"/>
  <c r="W297" i="1" s="1"/>
  <c r="CV297" i="1"/>
  <c r="U297" i="1" s="1"/>
  <c r="K414" i="5" s="1"/>
  <c r="FR297" i="1"/>
  <c r="GL297" i="1"/>
  <c r="GN297" i="1"/>
  <c r="GO297" i="1"/>
  <c r="GV297" i="1"/>
  <c r="HC297" i="1"/>
  <c r="GX297" i="1" s="1"/>
  <c r="C298" i="1"/>
  <c r="D298" i="1"/>
  <c r="I298" i="1"/>
  <c r="AC298" i="1"/>
  <c r="AE298" i="1"/>
  <c r="AF298" i="1"/>
  <c r="AG298" i="1"/>
  <c r="CU298" i="1" s="1"/>
  <c r="AH298" i="1"/>
  <c r="CV298" i="1" s="1"/>
  <c r="U298" i="1" s="1"/>
  <c r="K421" i="5" s="1"/>
  <c r="AI298" i="1"/>
  <c r="CW298" i="1" s="1"/>
  <c r="AJ298" i="1"/>
  <c r="CT298" i="1"/>
  <c r="S298" i="1" s="1"/>
  <c r="CX298" i="1"/>
  <c r="W298" i="1" s="1"/>
  <c r="FR298" i="1"/>
  <c r="GL298" i="1"/>
  <c r="GN298" i="1"/>
  <c r="GO298" i="1"/>
  <c r="GV298" i="1"/>
  <c r="HC298" i="1" s="1"/>
  <c r="GX298" i="1" s="1"/>
  <c r="C299" i="1"/>
  <c r="D299" i="1"/>
  <c r="I299" i="1"/>
  <c r="AC299" i="1"/>
  <c r="AE299" i="1"/>
  <c r="AF299" i="1"/>
  <c r="AG299" i="1"/>
  <c r="CU299" i="1" s="1"/>
  <c r="AH299" i="1"/>
  <c r="AI299" i="1"/>
  <c r="CW299" i="1" s="1"/>
  <c r="AJ299" i="1"/>
  <c r="CX299" i="1" s="1"/>
  <c r="CT299" i="1"/>
  <c r="CV299" i="1"/>
  <c r="FR299" i="1"/>
  <c r="GL299" i="1"/>
  <c r="GN299" i="1"/>
  <c r="GO299" i="1"/>
  <c r="GV299" i="1"/>
  <c r="HC299" i="1" s="1"/>
  <c r="GX299" i="1" s="1"/>
  <c r="C300" i="1"/>
  <c r="D300" i="1"/>
  <c r="AC300" i="1"/>
  <c r="AE300" i="1"/>
  <c r="AF300" i="1"/>
  <c r="AG300" i="1"/>
  <c r="AH300" i="1"/>
  <c r="CV300" i="1" s="1"/>
  <c r="AI300" i="1"/>
  <c r="CW300" i="1" s="1"/>
  <c r="AJ300" i="1"/>
  <c r="CX300" i="1" s="1"/>
  <c r="CQ300" i="1"/>
  <c r="CU300" i="1"/>
  <c r="FR300" i="1"/>
  <c r="GL300" i="1"/>
  <c r="GN300" i="1"/>
  <c r="GO300" i="1"/>
  <c r="GV300" i="1"/>
  <c r="HC300" i="1" s="1"/>
  <c r="AC301" i="1"/>
  <c r="AE301" i="1"/>
  <c r="AF301" i="1"/>
  <c r="AG301" i="1"/>
  <c r="CU301" i="1" s="1"/>
  <c r="AH301" i="1"/>
  <c r="CV301" i="1" s="1"/>
  <c r="AI301" i="1"/>
  <c r="CW301" i="1" s="1"/>
  <c r="AJ301" i="1"/>
  <c r="CX301" i="1" s="1"/>
  <c r="FR301" i="1"/>
  <c r="GL301" i="1"/>
  <c r="GO301" i="1"/>
  <c r="GP301" i="1"/>
  <c r="GV301" i="1"/>
  <c r="HC301" i="1" s="1"/>
  <c r="C302" i="1"/>
  <c r="D302" i="1"/>
  <c r="I302" i="1"/>
  <c r="AC302" i="1"/>
  <c r="AE302" i="1"/>
  <c r="AF302" i="1"/>
  <c r="AG302" i="1"/>
  <c r="CU302" i="1" s="1"/>
  <c r="AH302" i="1"/>
  <c r="CV302" i="1" s="1"/>
  <c r="AI302" i="1"/>
  <c r="CW302" i="1" s="1"/>
  <c r="AJ302" i="1"/>
  <c r="CX302" i="1"/>
  <c r="W302" i="1" s="1"/>
  <c r="FR302" i="1"/>
  <c r="GL302" i="1"/>
  <c r="GN302" i="1"/>
  <c r="GO302" i="1"/>
  <c r="GV302" i="1"/>
  <c r="HC302" i="1" s="1"/>
  <c r="GX302" i="1" s="1"/>
  <c r="C303" i="1"/>
  <c r="D303" i="1"/>
  <c r="I303" i="1"/>
  <c r="AC303" i="1"/>
  <c r="AE303" i="1"/>
  <c r="AF303" i="1"/>
  <c r="AG303" i="1"/>
  <c r="CU303" i="1" s="1"/>
  <c r="AH303" i="1"/>
  <c r="CV303" i="1" s="1"/>
  <c r="U303" i="1" s="1"/>
  <c r="K455" i="5" s="1"/>
  <c r="AI303" i="1"/>
  <c r="CW303" i="1" s="1"/>
  <c r="AJ303" i="1"/>
  <c r="CT303" i="1"/>
  <c r="S303" i="1" s="1"/>
  <c r="J448" i="5" s="1"/>
  <c r="CX303" i="1"/>
  <c r="W303" i="1" s="1"/>
  <c r="FR303" i="1"/>
  <c r="BY307" i="1" s="1"/>
  <c r="BY294" i="1" s="1"/>
  <c r="GL303" i="1"/>
  <c r="GN303" i="1"/>
  <c r="GO303" i="1"/>
  <c r="GV303" i="1"/>
  <c r="HC303" i="1" s="1"/>
  <c r="GX303" i="1" s="1"/>
  <c r="C304" i="1"/>
  <c r="D304" i="1"/>
  <c r="I304" i="1"/>
  <c r="AC304" i="1"/>
  <c r="AE304" i="1"/>
  <c r="AF304" i="1"/>
  <c r="AG304" i="1"/>
  <c r="CU304" i="1" s="1"/>
  <c r="AH304" i="1"/>
  <c r="CV304" i="1" s="1"/>
  <c r="U304" i="1" s="1"/>
  <c r="K467" i="5" s="1"/>
  <c r="AI304" i="1"/>
  <c r="CW304" i="1" s="1"/>
  <c r="AJ304" i="1"/>
  <c r="CX304" i="1" s="1"/>
  <c r="W304" i="1" s="1"/>
  <c r="FR304" i="1"/>
  <c r="GL304" i="1"/>
  <c r="GN304" i="1"/>
  <c r="GO304" i="1"/>
  <c r="GV304" i="1"/>
  <c r="HC304" i="1" s="1"/>
  <c r="GX304" i="1" s="1"/>
  <c r="AC305" i="1"/>
  <c r="AE305" i="1"/>
  <c r="AF305" i="1"/>
  <c r="AG305" i="1"/>
  <c r="CU305" i="1" s="1"/>
  <c r="AH305" i="1"/>
  <c r="CV305" i="1" s="1"/>
  <c r="AI305" i="1"/>
  <c r="CW305" i="1" s="1"/>
  <c r="AJ305" i="1"/>
  <c r="CX305" i="1"/>
  <c r="FR305" i="1"/>
  <c r="GL305" i="1"/>
  <c r="GN305" i="1"/>
  <c r="GO305" i="1"/>
  <c r="CC307" i="1" s="1"/>
  <c r="CC294" i="1" s="1"/>
  <c r="GV305" i="1"/>
  <c r="HC305" i="1" s="1"/>
  <c r="B307" i="1"/>
  <c r="B294" i="1" s="1"/>
  <c r="C307" i="1"/>
  <c r="C294" i="1" s="1"/>
  <c r="D307" i="1"/>
  <c r="D294" i="1" s="1"/>
  <c r="F307" i="1"/>
  <c r="F294" i="1" s="1"/>
  <c r="G307" i="1"/>
  <c r="BB307" i="1"/>
  <c r="BB294" i="1" s="1"/>
  <c r="BX307" i="1"/>
  <c r="BX294" i="1" s="1"/>
  <c r="CK307" i="1"/>
  <c r="CK294" i="1" s="1"/>
  <c r="CL307" i="1"/>
  <c r="CL294" i="1" s="1"/>
  <c r="D339" i="1"/>
  <c r="E341" i="1"/>
  <c r="Z341" i="1"/>
  <c r="AA341" i="1"/>
  <c r="AM341" i="1"/>
  <c r="AN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CM341" i="1"/>
  <c r="CN341" i="1"/>
  <c r="CO341" i="1"/>
  <c r="CP341" i="1"/>
  <c r="CQ341" i="1"/>
  <c r="CR341" i="1"/>
  <c r="CS341" i="1"/>
  <c r="CT341" i="1"/>
  <c r="CU341" i="1"/>
  <c r="CV341" i="1"/>
  <c r="CW341" i="1"/>
  <c r="CX341" i="1"/>
  <c r="CY341" i="1"/>
  <c r="CZ341" i="1"/>
  <c r="DA341" i="1"/>
  <c r="DB341" i="1"/>
  <c r="DC341" i="1"/>
  <c r="DD341" i="1"/>
  <c r="DE341" i="1"/>
  <c r="DF341" i="1"/>
  <c r="DG341" i="1"/>
  <c r="DH341" i="1"/>
  <c r="DI341" i="1"/>
  <c r="DJ341" i="1"/>
  <c r="DK341" i="1"/>
  <c r="DL341" i="1"/>
  <c r="DM341" i="1"/>
  <c r="DN341" i="1"/>
  <c r="DO341" i="1"/>
  <c r="DP341" i="1"/>
  <c r="DQ341" i="1"/>
  <c r="DR341" i="1"/>
  <c r="DS341" i="1"/>
  <c r="DT341" i="1"/>
  <c r="DU341" i="1"/>
  <c r="DV341" i="1"/>
  <c r="DW341" i="1"/>
  <c r="DX341" i="1"/>
  <c r="DY341" i="1"/>
  <c r="DZ341" i="1"/>
  <c r="EA341" i="1"/>
  <c r="EB341" i="1"/>
  <c r="EC341" i="1"/>
  <c r="ED341" i="1"/>
  <c r="EE341" i="1"/>
  <c r="EF341" i="1"/>
  <c r="EG341" i="1"/>
  <c r="EH341" i="1"/>
  <c r="EI341" i="1"/>
  <c r="EJ341" i="1"/>
  <c r="EK341" i="1"/>
  <c r="EL341" i="1"/>
  <c r="EM341" i="1"/>
  <c r="EN341" i="1"/>
  <c r="EO341" i="1"/>
  <c r="EP341" i="1"/>
  <c r="EQ341" i="1"/>
  <c r="ER341" i="1"/>
  <c r="ES341" i="1"/>
  <c r="ET341" i="1"/>
  <c r="EU341" i="1"/>
  <c r="EV341" i="1"/>
  <c r="EW341" i="1"/>
  <c r="EX341" i="1"/>
  <c r="EY341" i="1"/>
  <c r="EZ341" i="1"/>
  <c r="FA341" i="1"/>
  <c r="FB341" i="1"/>
  <c r="FC341" i="1"/>
  <c r="FD341" i="1"/>
  <c r="FE341" i="1"/>
  <c r="FF341" i="1"/>
  <c r="FG341" i="1"/>
  <c r="FH341" i="1"/>
  <c r="FI341" i="1"/>
  <c r="FJ341" i="1"/>
  <c r="FK341" i="1"/>
  <c r="FL341" i="1"/>
  <c r="FM341" i="1"/>
  <c r="FN341" i="1"/>
  <c r="FO341" i="1"/>
  <c r="FP341" i="1"/>
  <c r="FQ341" i="1"/>
  <c r="FR341" i="1"/>
  <c r="FS341" i="1"/>
  <c r="FT341" i="1"/>
  <c r="FU341" i="1"/>
  <c r="FV341" i="1"/>
  <c r="FW341" i="1"/>
  <c r="FX341" i="1"/>
  <c r="FY341" i="1"/>
  <c r="FZ341" i="1"/>
  <c r="GA341" i="1"/>
  <c r="GB341" i="1"/>
  <c r="GC341" i="1"/>
  <c r="GD341" i="1"/>
  <c r="GE341" i="1"/>
  <c r="GF341" i="1"/>
  <c r="GG341" i="1"/>
  <c r="GH341" i="1"/>
  <c r="GI341" i="1"/>
  <c r="GJ341" i="1"/>
  <c r="GK341" i="1"/>
  <c r="GL341" i="1"/>
  <c r="GM341" i="1"/>
  <c r="GN341" i="1"/>
  <c r="GO341" i="1"/>
  <c r="GP341" i="1"/>
  <c r="GQ341" i="1"/>
  <c r="GR341" i="1"/>
  <c r="GS341" i="1"/>
  <c r="GT341" i="1"/>
  <c r="GU341" i="1"/>
  <c r="GV341" i="1"/>
  <c r="GW341" i="1"/>
  <c r="GX341" i="1"/>
  <c r="C343" i="1"/>
  <c r="D343" i="1"/>
  <c r="I343" i="1"/>
  <c r="AC343" i="1"/>
  <c r="AE343" i="1"/>
  <c r="AF343" i="1"/>
  <c r="CT343" i="1" s="1"/>
  <c r="AG343" i="1"/>
  <c r="CU343" i="1" s="1"/>
  <c r="AH343" i="1"/>
  <c r="CV343" i="1" s="1"/>
  <c r="U343" i="1" s="1"/>
  <c r="K482" i="5" s="1"/>
  <c r="AI343" i="1"/>
  <c r="CW343" i="1" s="1"/>
  <c r="AJ343" i="1"/>
  <c r="CR343" i="1"/>
  <c r="Q343" i="1" s="1"/>
  <c r="CX343" i="1"/>
  <c r="W343" i="1" s="1"/>
  <c r="FR343" i="1"/>
  <c r="GL343" i="1"/>
  <c r="GN343" i="1"/>
  <c r="GO343" i="1"/>
  <c r="GV343" i="1"/>
  <c r="HC343" i="1"/>
  <c r="GX343" i="1" s="1"/>
  <c r="C344" i="1"/>
  <c r="D344" i="1"/>
  <c r="I344" i="1"/>
  <c r="AC344" i="1"/>
  <c r="AE344" i="1"/>
  <c r="AF344" i="1"/>
  <c r="CT344" i="1" s="1"/>
  <c r="S344" i="1" s="1"/>
  <c r="J486" i="5" s="1"/>
  <c r="AG344" i="1"/>
  <c r="CU344" i="1" s="1"/>
  <c r="AH344" i="1"/>
  <c r="CV344" i="1" s="1"/>
  <c r="U344" i="1" s="1"/>
  <c r="K489" i="5" s="1"/>
  <c r="AI344" i="1"/>
  <c r="CW344" i="1" s="1"/>
  <c r="AJ344" i="1"/>
  <c r="CX344" i="1" s="1"/>
  <c r="W344" i="1" s="1"/>
  <c r="FR344" i="1"/>
  <c r="GL344" i="1"/>
  <c r="GN344" i="1"/>
  <c r="GO344" i="1"/>
  <c r="GV344" i="1"/>
  <c r="HC344" i="1" s="1"/>
  <c r="GX344" i="1" s="1"/>
  <c r="C345" i="1"/>
  <c r="D345" i="1"/>
  <c r="I345" i="1"/>
  <c r="I348" i="1" s="1"/>
  <c r="AC345" i="1"/>
  <c r="AE345" i="1"/>
  <c r="CR345" i="1" s="1"/>
  <c r="AF345" i="1"/>
  <c r="CT345" i="1" s="1"/>
  <c r="S345" i="1" s="1"/>
  <c r="AG345" i="1"/>
  <c r="CU345" i="1" s="1"/>
  <c r="AH345" i="1"/>
  <c r="CV345" i="1" s="1"/>
  <c r="U345" i="1" s="1"/>
  <c r="AI345" i="1"/>
  <c r="CW345" i="1" s="1"/>
  <c r="AJ345" i="1"/>
  <c r="CX345" i="1"/>
  <c r="W345" i="1" s="1"/>
  <c r="FR345" i="1"/>
  <c r="GL345" i="1"/>
  <c r="GN345" i="1"/>
  <c r="GO345" i="1"/>
  <c r="GV345" i="1"/>
  <c r="HC345" i="1" s="1"/>
  <c r="GX345" i="1" s="1"/>
  <c r="C346" i="1"/>
  <c r="D346" i="1"/>
  <c r="I346" i="1"/>
  <c r="AC346" i="1"/>
  <c r="AE346" i="1"/>
  <c r="AF346" i="1"/>
  <c r="AG346" i="1"/>
  <c r="CU346" i="1" s="1"/>
  <c r="AH346" i="1"/>
  <c r="CV346" i="1" s="1"/>
  <c r="AI346" i="1"/>
  <c r="CW346" i="1" s="1"/>
  <c r="AJ346" i="1"/>
  <c r="CX346" i="1" s="1"/>
  <c r="W346" i="1" s="1"/>
  <c r="CT346" i="1"/>
  <c r="S346" i="1" s="1"/>
  <c r="FR346" i="1"/>
  <c r="GL346" i="1"/>
  <c r="GN346" i="1"/>
  <c r="GO346" i="1"/>
  <c r="GV346" i="1"/>
  <c r="HC346" i="1"/>
  <c r="GX346" i="1" s="1"/>
  <c r="C347" i="1"/>
  <c r="D347" i="1"/>
  <c r="I347" i="1"/>
  <c r="AC347" i="1"/>
  <c r="AD347" i="1"/>
  <c r="AB347" i="1" s="1"/>
  <c r="AE347" i="1"/>
  <c r="AF347" i="1"/>
  <c r="AG347" i="1"/>
  <c r="CU347" i="1" s="1"/>
  <c r="AH347" i="1"/>
  <c r="CV347" i="1" s="1"/>
  <c r="AI347" i="1"/>
  <c r="CW347" i="1" s="1"/>
  <c r="AJ347" i="1"/>
  <c r="CX347" i="1" s="1"/>
  <c r="W347" i="1" s="1"/>
  <c r="CQ347" i="1"/>
  <c r="CR347" i="1"/>
  <c r="Q347" i="1" s="1"/>
  <c r="J502" i="5" s="1"/>
  <c r="I504" i="5" s="1"/>
  <c r="P504" i="5" s="1"/>
  <c r="CS347" i="1"/>
  <c r="FR347" i="1"/>
  <c r="GL347" i="1"/>
  <c r="GN347" i="1"/>
  <c r="GO347" i="1"/>
  <c r="GV347" i="1"/>
  <c r="HC347" i="1" s="1"/>
  <c r="C348" i="1"/>
  <c r="D348" i="1"/>
  <c r="AC348" i="1"/>
  <c r="AE348" i="1"/>
  <c r="AF348" i="1"/>
  <c r="CT348" i="1" s="1"/>
  <c r="AG348" i="1"/>
  <c r="CU348" i="1" s="1"/>
  <c r="AH348" i="1"/>
  <c r="CV348" i="1" s="1"/>
  <c r="AI348" i="1"/>
  <c r="CW348" i="1" s="1"/>
  <c r="AJ348" i="1"/>
  <c r="CX348" i="1" s="1"/>
  <c r="FR348" i="1"/>
  <c r="GL348" i="1"/>
  <c r="GN348" i="1"/>
  <c r="GO348" i="1"/>
  <c r="GV348" i="1"/>
  <c r="HC348" i="1"/>
  <c r="AC349" i="1"/>
  <c r="AE349" i="1"/>
  <c r="AF349" i="1"/>
  <c r="AG349" i="1"/>
  <c r="CU349" i="1" s="1"/>
  <c r="AH349" i="1"/>
  <c r="CV349" i="1" s="1"/>
  <c r="AI349" i="1"/>
  <c r="CW349" i="1" s="1"/>
  <c r="AJ349" i="1"/>
  <c r="CX349" i="1" s="1"/>
  <c r="CQ349" i="1"/>
  <c r="CS349" i="1"/>
  <c r="FR349" i="1"/>
  <c r="GL349" i="1"/>
  <c r="GO349" i="1"/>
  <c r="GP349" i="1"/>
  <c r="GV349" i="1"/>
  <c r="HC349" i="1"/>
  <c r="C350" i="1"/>
  <c r="D350" i="1"/>
  <c r="I350" i="1"/>
  <c r="AC350" i="1"/>
  <c r="AE350" i="1"/>
  <c r="AD350" i="1" s="1"/>
  <c r="AB350" i="1" s="1"/>
  <c r="AF350" i="1"/>
  <c r="AG350" i="1"/>
  <c r="CU350" i="1" s="1"/>
  <c r="AH350" i="1"/>
  <c r="CV350" i="1" s="1"/>
  <c r="AI350" i="1"/>
  <c r="CW350" i="1" s="1"/>
  <c r="AJ350" i="1"/>
  <c r="CX350" i="1" s="1"/>
  <c r="W350" i="1" s="1"/>
  <c r="CQ350" i="1"/>
  <c r="CS350" i="1"/>
  <c r="FR350" i="1"/>
  <c r="GL350" i="1"/>
  <c r="GN350" i="1"/>
  <c r="GO350" i="1"/>
  <c r="GV350" i="1"/>
  <c r="HC350" i="1" s="1"/>
  <c r="GX350" i="1" s="1"/>
  <c r="C351" i="1"/>
  <c r="D351" i="1"/>
  <c r="I351" i="1"/>
  <c r="O66" i="7" s="1"/>
  <c r="F75" i="6" s="1"/>
  <c r="AC351" i="1"/>
  <c r="CQ351" i="1" s="1"/>
  <c r="P351" i="1" s="1"/>
  <c r="AE351" i="1"/>
  <c r="U523" i="5" s="1"/>
  <c r="AF351" i="1"/>
  <c r="AG351" i="1"/>
  <c r="CU351" i="1" s="1"/>
  <c r="T351" i="1" s="1"/>
  <c r="AH351" i="1"/>
  <c r="CV351" i="1" s="1"/>
  <c r="AI351" i="1"/>
  <c r="AJ351" i="1"/>
  <c r="CX351" i="1" s="1"/>
  <c r="W351" i="1" s="1"/>
  <c r="CS351" i="1"/>
  <c r="CW351" i="1"/>
  <c r="FR351" i="1"/>
  <c r="GL351" i="1"/>
  <c r="GN351" i="1"/>
  <c r="GO351" i="1"/>
  <c r="GV351" i="1"/>
  <c r="HC351" i="1"/>
  <c r="GX351" i="1" s="1"/>
  <c r="B353" i="1"/>
  <c r="B341" i="1" s="1"/>
  <c r="C353" i="1"/>
  <c r="C341" i="1" s="1"/>
  <c r="D353" i="1"/>
  <c r="D341" i="1" s="1"/>
  <c r="F353" i="1"/>
  <c r="F341" i="1" s="1"/>
  <c r="G353" i="1"/>
  <c r="BX353" i="1"/>
  <c r="BX341" i="1" s="1"/>
  <c r="CK353" i="1"/>
  <c r="CK341" i="1" s="1"/>
  <c r="CL353" i="1"/>
  <c r="CL341" i="1" s="1"/>
  <c r="D382" i="1"/>
  <c r="E384" i="1"/>
  <c r="Z384" i="1"/>
  <c r="AA384" i="1"/>
  <c r="AM384" i="1"/>
  <c r="AN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CM384" i="1"/>
  <c r="CN384" i="1"/>
  <c r="CO384" i="1"/>
  <c r="CP384" i="1"/>
  <c r="CQ384" i="1"/>
  <c r="CR384" i="1"/>
  <c r="CS384" i="1"/>
  <c r="CT384" i="1"/>
  <c r="CU384" i="1"/>
  <c r="CV384" i="1"/>
  <c r="CW384" i="1"/>
  <c r="CX384" i="1"/>
  <c r="CY384" i="1"/>
  <c r="CZ384" i="1"/>
  <c r="DA384" i="1"/>
  <c r="DB384" i="1"/>
  <c r="DC384" i="1"/>
  <c r="DD384" i="1"/>
  <c r="DE384" i="1"/>
  <c r="DF384" i="1"/>
  <c r="DG384" i="1"/>
  <c r="DH384" i="1"/>
  <c r="DI384" i="1"/>
  <c r="DJ384" i="1"/>
  <c r="DK384" i="1"/>
  <c r="DL384" i="1"/>
  <c r="DM384" i="1"/>
  <c r="DN384" i="1"/>
  <c r="DO384" i="1"/>
  <c r="DP384" i="1"/>
  <c r="DQ384" i="1"/>
  <c r="DR384" i="1"/>
  <c r="DS384" i="1"/>
  <c r="DT384" i="1"/>
  <c r="DU384" i="1"/>
  <c r="DV384" i="1"/>
  <c r="DW384" i="1"/>
  <c r="DX384" i="1"/>
  <c r="DY384" i="1"/>
  <c r="DZ384" i="1"/>
  <c r="EA384" i="1"/>
  <c r="EB384" i="1"/>
  <c r="EC384" i="1"/>
  <c r="ED384" i="1"/>
  <c r="EE384" i="1"/>
  <c r="EF384" i="1"/>
  <c r="EG384" i="1"/>
  <c r="EH384" i="1"/>
  <c r="EI384" i="1"/>
  <c r="EJ384" i="1"/>
  <c r="EK384" i="1"/>
  <c r="EL384" i="1"/>
  <c r="EM384" i="1"/>
  <c r="EN384" i="1"/>
  <c r="EO384" i="1"/>
  <c r="EP384" i="1"/>
  <c r="EQ384" i="1"/>
  <c r="ER384" i="1"/>
  <c r="ES384" i="1"/>
  <c r="ET384" i="1"/>
  <c r="EU384" i="1"/>
  <c r="EV384" i="1"/>
  <c r="EW384" i="1"/>
  <c r="EX384" i="1"/>
  <c r="EY384" i="1"/>
  <c r="EZ384" i="1"/>
  <c r="FA384" i="1"/>
  <c r="FB384" i="1"/>
  <c r="FC384" i="1"/>
  <c r="FD384" i="1"/>
  <c r="FE384" i="1"/>
  <c r="FF384" i="1"/>
  <c r="FG384" i="1"/>
  <c r="FH384" i="1"/>
  <c r="FI384" i="1"/>
  <c r="FJ384" i="1"/>
  <c r="FK384" i="1"/>
  <c r="FL384" i="1"/>
  <c r="FM384" i="1"/>
  <c r="FN384" i="1"/>
  <c r="FO384" i="1"/>
  <c r="FP384" i="1"/>
  <c r="FQ384" i="1"/>
  <c r="FR384" i="1"/>
  <c r="FS384" i="1"/>
  <c r="FT384" i="1"/>
  <c r="FU384" i="1"/>
  <c r="FV384" i="1"/>
  <c r="FW384" i="1"/>
  <c r="FX384" i="1"/>
  <c r="FY384" i="1"/>
  <c r="FZ384" i="1"/>
  <c r="GA384" i="1"/>
  <c r="GB384" i="1"/>
  <c r="GC384" i="1"/>
  <c r="GD384" i="1"/>
  <c r="GE384" i="1"/>
  <c r="GF384" i="1"/>
  <c r="GG384" i="1"/>
  <c r="GH384" i="1"/>
  <c r="GI384" i="1"/>
  <c r="GJ384" i="1"/>
  <c r="GK384" i="1"/>
  <c r="GL384" i="1"/>
  <c r="GM384" i="1"/>
  <c r="GN384" i="1"/>
  <c r="GO384" i="1"/>
  <c r="GP384" i="1"/>
  <c r="GQ384" i="1"/>
  <c r="GR384" i="1"/>
  <c r="GS384" i="1"/>
  <c r="GT384" i="1"/>
  <c r="GU384" i="1"/>
  <c r="GV384" i="1"/>
  <c r="GW384" i="1"/>
  <c r="GX384" i="1"/>
  <c r="C386" i="1"/>
  <c r="D386" i="1"/>
  <c r="I386" i="1"/>
  <c r="AC386" i="1"/>
  <c r="AD386" i="1"/>
  <c r="AE386" i="1"/>
  <c r="U538" i="5" s="1"/>
  <c r="AF386" i="1"/>
  <c r="AG386" i="1"/>
  <c r="CU386" i="1" s="1"/>
  <c r="T386" i="1" s="1"/>
  <c r="AG388" i="1" s="1"/>
  <c r="AH386" i="1"/>
  <c r="CV386" i="1" s="1"/>
  <c r="U386" i="1" s="1"/>
  <c r="AI386" i="1"/>
  <c r="CW386" i="1" s="1"/>
  <c r="V386" i="1" s="1"/>
  <c r="AI388" i="1" s="1"/>
  <c r="AJ386" i="1"/>
  <c r="CX386" i="1" s="1"/>
  <c r="W386" i="1" s="1"/>
  <c r="AJ388" i="1" s="1"/>
  <c r="CQ386" i="1"/>
  <c r="CR386" i="1"/>
  <c r="Q386" i="1" s="1"/>
  <c r="CS386" i="1"/>
  <c r="FR386" i="1"/>
  <c r="BY388" i="1" s="1"/>
  <c r="GL386" i="1"/>
  <c r="BZ388" i="1" s="1"/>
  <c r="BZ384" i="1" s="1"/>
  <c r="GN386" i="1"/>
  <c r="CB388" i="1" s="1"/>
  <c r="CB384" i="1" s="1"/>
  <c r="GO386" i="1"/>
  <c r="CC388" i="1" s="1"/>
  <c r="CC384" i="1" s="1"/>
  <c r="GV386" i="1"/>
  <c r="HC386" i="1" s="1"/>
  <c r="GX386" i="1" s="1"/>
  <c r="CJ388" i="1" s="1"/>
  <c r="CJ384" i="1" s="1"/>
  <c r="B388" i="1"/>
  <c r="B384" i="1" s="1"/>
  <c r="C388" i="1"/>
  <c r="C384" i="1" s="1"/>
  <c r="D388" i="1"/>
  <c r="D384" i="1" s="1"/>
  <c r="F388" i="1"/>
  <c r="F384" i="1" s="1"/>
  <c r="G388" i="1"/>
  <c r="BX388" i="1"/>
  <c r="BX384" i="1" s="1"/>
  <c r="CK388" i="1"/>
  <c r="CK384" i="1" s="1"/>
  <c r="CL388" i="1"/>
  <c r="CL384" i="1" s="1"/>
  <c r="D420" i="1"/>
  <c r="E422" i="1"/>
  <c r="Z422" i="1"/>
  <c r="AA422" i="1"/>
  <c r="AM422" i="1"/>
  <c r="AN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CM422" i="1"/>
  <c r="CN422" i="1"/>
  <c r="CO422" i="1"/>
  <c r="CP422" i="1"/>
  <c r="CQ422" i="1"/>
  <c r="CR422" i="1"/>
  <c r="CS422" i="1"/>
  <c r="CT422" i="1"/>
  <c r="CU422" i="1"/>
  <c r="CV422" i="1"/>
  <c r="CW422" i="1"/>
  <c r="CX422" i="1"/>
  <c r="CY422" i="1"/>
  <c r="CZ422" i="1"/>
  <c r="DA422" i="1"/>
  <c r="DB422" i="1"/>
  <c r="DC422" i="1"/>
  <c r="DD422" i="1"/>
  <c r="DE422" i="1"/>
  <c r="DF422" i="1"/>
  <c r="DG422" i="1"/>
  <c r="DH422" i="1"/>
  <c r="DI422" i="1"/>
  <c r="DJ422" i="1"/>
  <c r="DK422" i="1"/>
  <c r="DL422" i="1"/>
  <c r="DM422" i="1"/>
  <c r="DN422" i="1"/>
  <c r="DO422" i="1"/>
  <c r="DP422" i="1"/>
  <c r="DQ422" i="1"/>
  <c r="DR422" i="1"/>
  <c r="DS422" i="1"/>
  <c r="DT422" i="1"/>
  <c r="DU422" i="1"/>
  <c r="DV422" i="1"/>
  <c r="DW422" i="1"/>
  <c r="DX422" i="1"/>
  <c r="DY422" i="1"/>
  <c r="DZ422" i="1"/>
  <c r="EA422" i="1"/>
  <c r="EB422" i="1"/>
  <c r="EC422" i="1"/>
  <c r="ED422" i="1"/>
  <c r="EE422" i="1"/>
  <c r="EF422" i="1"/>
  <c r="EG422" i="1"/>
  <c r="EH422" i="1"/>
  <c r="EI422" i="1"/>
  <c r="EJ422" i="1"/>
  <c r="EK422" i="1"/>
  <c r="EL422" i="1"/>
  <c r="EM422" i="1"/>
  <c r="EN422" i="1"/>
  <c r="EO422" i="1"/>
  <c r="EP422" i="1"/>
  <c r="EQ422" i="1"/>
  <c r="ER422" i="1"/>
  <c r="ES422" i="1"/>
  <c r="ET422" i="1"/>
  <c r="EU422" i="1"/>
  <c r="EV422" i="1"/>
  <c r="EW422" i="1"/>
  <c r="EX422" i="1"/>
  <c r="EY422" i="1"/>
  <c r="EZ422" i="1"/>
  <c r="FA422" i="1"/>
  <c r="FB422" i="1"/>
  <c r="FC422" i="1"/>
  <c r="FD422" i="1"/>
  <c r="FE422" i="1"/>
  <c r="FF422" i="1"/>
  <c r="FG422" i="1"/>
  <c r="FH422" i="1"/>
  <c r="FI422" i="1"/>
  <c r="FJ422" i="1"/>
  <c r="FK422" i="1"/>
  <c r="FL422" i="1"/>
  <c r="FM422" i="1"/>
  <c r="FN422" i="1"/>
  <c r="FO422" i="1"/>
  <c r="FP422" i="1"/>
  <c r="FQ422" i="1"/>
  <c r="FR422" i="1"/>
  <c r="FS422" i="1"/>
  <c r="FT422" i="1"/>
  <c r="FU422" i="1"/>
  <c r="FV422" i="1"/>
  <c r="FW422" i="1"/>
  <c r="FX422" i="1"/>
  <c r="FY422" i="1"/>
  <c r="FZ422" i="1"/>
  <c r="GA422" i="1"/>
  <c r="GB422" i="1"/>
  <c r="GC422" i="1"/>
  <c r="GD422" i="1"/>
  <c r="GE422" i="1"/>
  <c r="GF422" i="1"/>
  <c r="GG422" i="1"/>
  <c r="GH422" i="1"/>
  <c r="GI422" i="1"/>
  <c r="GJ422" i="1"/>
  <c r="GK422" i="1"/>
  <c r="GL422" i="1"/>
  <c r="GM422" i="1"/>
  <c r="GN422" i="1"/>
  <c r="GO422" i="1"/>
  <c r="GP422" i="1"/>
  <c r="GQ422" i="1"/>
  <c r="GR422" i="1"/>
  <c r="GS422" i="1"/>
  <c r="GT422" i="1"/>
  <c r="GU422" i="1"/>
  <c r="GV422" i="1"/>
  <c r="GW422" i="1"/>
  <c r="GX422" i="1"/>
  <c r="C424" i="1"/>
  <c r="D424" i="1"/>
  <c r="I424" i="1"/>
  <c r="AC424" i="1"/>
  <c r="AE424" i="1"/>
  <c r="CR424" i="1" s="1"/>
  <c r="Q424" i="1" s="1"/>
  <c r="AF424" i="1"/>
  <c r="CT424" i="1" s="1"/>
  <c r="AG424" i="1"/>
  <c r="CU424" i="1" s="1"/>
  <c r="AH424" i="1"/>
  <c r="AI424" i="1"/>
  <c r="CW424" i="1" s="1"/>
  <c r="V424" i="1" s="1"/>
  <c r="AI426" i="1" s="1"/>
  <c r="AJ424" i="1"/>
  <c r="CV424" i="1"/>
  <c r="CX424" i="1"/>
  <c r="W424" i="1" s="1"/>
  <c r="AJ426" i="1" s="1"/>
  <c r="FR424" i="1"/>
  <c r="BY426" i="1" s="1"/>
  <c r="BY422" i="1" s="1"/>
  <c r="GL424" i="1"/>
  <c r="GN424" i="1"/>
  <c r="GO424" i="1"/>
  <c r="GV424" i="1"/>
  <c r="HC424" i="1" s="1"/>
  <c r="B426" i="1"/>
  <c r="B422" i="1" s="1"/>
  <c r="C426" i="1"/>
  <c r="C422" i="1" s="1"/>
  <c r="D426" i="1"/>
  <c r="D422" i="1" s="1"/>
  <c r="F426" i="1"/>
  <c r="F422" i="1" s="1"/>
  <c r="G426" i="1"/>
  <c r="A568" i="5" s="1"/>
  <c r="AQ426" i="1"/>
  <c r="AQ422" i="1" s="1"/>
  <c r="BX426" i="1"/>
  <c r="AO426" i="1" s="1"/>
  <c r="BZ426" i="1"/>
  <c r="BZ422" i="1" s="1"/>
  <c r="CB426" i="1"/>
  <c r="CB422" i="1" s="1"/>
  <c r="CC426" i="1"/>
  <c r="CC422" i="1" s="1"/>
  <c r="CK426" i="1"/>
  <c r="CK422" i="1" s="1"/>
  <c r="CL426" i="1"/>
  <c r="CL422" i="1" s="1"/>
  <c r="B458" i="1"/>
  <c r="B22" i="1" s="1"/>
  <c r="C458" i="1"/>
  <c r="C22" i="1" s="1"/>
  <c r="D458" i="1"/>
  <c r="D22" i="1" s="1"/>
  <c r="F458" i="1"/>
  <c r="F22" i="1" s="1"/>
  <c r="G458" i="1"/>
  <c r="G22" i="1" s="1"/>
  <c r="A8" i="6" s="1"/>
  <c r="B487" i="1"/>
  <c r="B18" i="1" s="1"/>
  <c r="C487" i="1"/>
  <c r="C18" i="1" s="1"/>
  <c r="D487" i="1"/>
  <c r="D18" i="1" s="1"/>
  <c r="F487" i="1"/>
  <c r="F18" i="1" s="1"/>
  <c r="G487" i="1"/>
  <c r="BX422" i="1" l="1"/>
  <c r="GX347" i="1"/>
  <c r="W299" i="1"/>
  <c r="W179" i="1"/>
  <c r="Q170" i="1"/>
  <c r="J259" i="5" s="1"/>
  <c r="T132" i="1"/>
  <c r="Q125" i="1"/>
  <c r="BY88" i="1"/>
  <c r="BY74" i="1" s="1"/>
  <c r="U129" i="5"/>
  <c r="V77" i="1"/>
  <c r="U112" i="5"/>
  <c r="BC40" i="1"/>
  <c r="T37" i="1"/>
  <c r="CR36" i="1"/>
  <c r="Q36" i="1" s="1"/>
  <c r="J94" i="5" s="1"/>
  <c r="T29" i="1"/>
  <c r="P28" i="1"/>
  <c r="CP28" i="1" s="1"/>
  <c r="O28" i="1" s="1"/>
  <c r="F320" i="1"/>
  <c r="V179" i="1"/>
  <c r="P170" i="1"/>
  <c r="BY134" i="1"/>
  <c r="BY122" i="1" s="1"/>
  <c r="CC40" i="1"/>
  <c r="CC26" i="1" s="1"/>
  <c r="M28" i="7"/>
  <c r="GX424" i="1"/>
  <c r="CJ426" i="1" s="1"/>
  <c r="BB353" i="1"/>
  <c r="BB341" i="1" s="1"/>
  <c r="CR350" i="1"/>
  <c r="Q350" i="1" s="1"/>
  <c r="J515" i="5" s="1"/>
  <c r="V347" i="1"/>
  <c r="CC353" i="1"/>
  <c r="T344" i="1"/>
  <c r="V298" i="1"/>
  <c r="CR175" i="1"/>
  <c r="U172" i="1"/>
  <c r="K281" i="5" s="1"/>
  <c r="V81" i="1"/>
  <c r="W79" i="1"/>
  <c r="R78" i="1"/>
  <c r="GK78" i="1" s="1"/>
  <c r="U97" i="5"/>
  <c r="GX35" i="1"/>
  <c r="V31" i="1"/>
  <c r="U43" i="5"/>
  <c r="BY181" i="1"/>
  <c r="BY168" i="1" s="1"/>
  <c r="CC181" i="1"/>
  <c r="CC168" i="1" s="1"/>
  <c r="V79" i="1"/>
  <c r="AB29" i="1"/>
  <c r="K348" i="5"/>
  <c r="O28" i="7"/>
  <c r="F30" i="6" s="1"/>
  <c r="BZ353" i="1"/>
  <c r="BZ341" i="1" s="1"/>
  <c r="U302" i="1"/>
  <c r="K444" i="5" s="1"/>
  <c r="T298" i="1"/>
  <c r="V297" i="1"/>
  <c r="U178" i="1"/>
  <c r="K320" i="5" s="1"/>
  <c r="GX177" i="1"/>
  <c r="W177" i="1"/>
  <c r="GX173" i="1"/>
  <c r="U170" i="1"/>
  <c r="K264" i="5" s="1"/>
  <c r="V30" i="1"/>
  <c r="P29" i="1"/>
  <c r="O31" i="7"/>
  <c r="T424" i="1"/>
  <c r="AG426" i="1" s="1"/>
  <c r="P386" i="1"/>
  <c r="J543" i="5" s="1"/>
  <c r="V350" i="1"/>
  <c r="S343" i="1"/>
  <c r="J479" i="5" s="1"/>
  <c r="W258" i="1"/>
  <c r="W256" i="1"/>
  <c r="V177" i="1"/>
  <c r="U176" i="1"/>
  <c r="K304" i="5" s="1"/>
  <c r="CR171" i="1"/>
  <c r="T170" i="1"/>
  <c r="W126" i="1"/>
  <c r="T79" i="1"/>
  <c r="AB77" i="1"/>
  <c r="O19" i="7"/>
  <c r="S424" i="1"/>
  <c r="J559" i="5" s="1"/>
  <c r="U346" i="1"/>
  <c r="U299" i="1"/>
  <c r="U179" i="1"/>
  <c r="K328" i="5" s="1"/>
  <c r="V29" i="1"/>
  <c r="T346" i="1"/>
  <c r="BZ307" i="1"/>
  <c r="BZ294" i="1" s="1"/>
  <c r="T177" i="1"/>
  <c r="V256" i="5"/>
  <c r="J263" i="5" s="1"/>
  <c r="U256" i="5"/>
  <c r="U132" i="1"/>
  <c r="K246" i="5" s="1"/>
  <c r="T83" i="1"/>
  <c r="CR33" i="1"/>
  <c r="T10" i="7"/>
  <c r="D78" i="9"/>
  <c r="D78" i="8"/>
  <c r="E505" i="5"/>
  <c r="C506" i="5"/>
  <c r="I349" i="1"/>
  <c r="J528" i="5"/>
  <c r="GX348" i="1"/>
  <c r="W348" i="1"/>
  <c r="CC341" i="1"/>
  <c r="AT353" i="1"/>
  <c r="AT341" i="1" s="1"/>
  <c r="AO422" i="1"/>
  <c r="F430" i="1"/>
  <c r="R351" i="1"/>
  <c r="V523" i="5"/>
  <c r="J531" i="5" s="1"/>
  <c r="G294" i="1"/>
  <c r="A59" i="6" s="1"/>
  <c r="AF470" i="5"/>
  <c r="A470" i="5"/>
  <c r="I57" i="7"/>
  <c r="D67" i="6" s="1"/>
  <c r="R59" i="7"/>
  <c r="O57" i="7"/>
  <c r="F67" i="6" s="1"/>
  <c r="D71" i="9"/>
  <c r="M57" i="7"/>
  <c r="I59" i="7"/>
  <c r="D62" i="6" s="1"/>
  <c r="T57" i="7"/>
  <c r="O59" i="7"/>
  <c r="F62" i="6" s="1"/>
  <c r="D71" i="8"/>
  <c r="R57" i="7"/>
  <c r="I58" i="7"/>
  <c r="D65" i="6" s="1"/>
  <c r="E457" i="5"/>
  <c r="C458" i="5"/>
  <c r="M59" i="7"/>
  <c r="O58" i="7"/>
  <c r="F65" i="6" s="1"/>
  <c r="R58" i="7"/>
  <c r="M58" i="7"/>
  <c r="T58" i="7"/>
  <c r="S50" i="7"/>
  <c r="P50" i="7"/>
  <c r="AD258" i="1"/>
  <c r="AB258" i="1" s="1"/>
  <c r="CR258" i="1"/>
  <c r="U295" i="5"/>
  <c r="AD176" i="1"/>
  <c r="AB176" i="1" s="1"/>
  <c r="CR176" i="1"/>
  <c r="Q176" i="1" s="1"/>
  <c r="J298" i="5" s="1"/>
  <c r="D51" i="9"/>
  <c r="D51" i="8"/>
  <c r="E283" i="5"/>
  <c r="C284" i="5"/>
  <c r="I175" i="1"/>
  <c r="Q237" i="5"/>
  <c r="S237" i="5"/>
  <c r="CT132" i="1"/>
  <c r="S132" i="1" s="1"/>
  <c r="J239" i="5" s="1"/>
  <c r="CY86" i="1"/>
  <c r="X86" i="1" s="1"/>
  <c r="R177" i="5" s="1"/>
  <c r="CZ86" i="1"/>
  <c r="Y86" i="1" s="1"/>
  <c r="T177" i="5" s="1"/>
  <c r="W85" i="1"/>
  <c r="AD84" i="1"/>
  <c r="U170" i="5"/>
  <c r="CR84" i="1"/>
  <c r="Q84" i="1" s="1"/>
  <c r="J173" i="5" s="1"/>
  <c r="BC26" i="1"/>
  <c r="F56" i="1"/>
  <c r="S92" i="5"/>
  <c r="Q92" i="5"/>
  <c r="R30" i="1"/>
  <c r="GK30" i="1" s="1"/>
  <c r="V50" i="5"/>
  <c r="F436" i="1"/>
  <c r="G422" i="1"/>
  <c r="A85" i="6" s="1"/>
  <c r="AH388" i="1"/>
  <c r="K547" i="5"/>
  <c r="CR351" i="1"/>
  <c r="Q351" i="1" s="1"/>
  <c r="J526" i="5" s="1"/>
  <c r="AD351" i="1"/>
  <c r="AB351" i="1" s="1"/>
  <c r="P350" i="1"/>
  <c r="J517" i="5" s="1"/>
  <c r="W349" i="1"/>
  <c r="Q505" i="5"/>
  <c r="S505" i="5"/>
  <c r="P347" i="1"/>
  <c r="V346" i="1"/>
  <c r="AD345" i="1"/>
  <c r="U491" i="5"/>
  <c r="V344" i="1"/>
  <c r="AD343" i="1"/>
  <c r="U477" i="5"/>
  <c r="V304" i="1"/>
  <c r="T302" i="1"/>
  <c r="CR299" i="1"/>
  <c r="Q299" i="1" s="1"/>
  <c r="J425" i="5" s="1"/>
  <c r="I427" i="5" s="1"/>
  <c r="U423" i="5"/>
  <c r="S416" i="5"/>
  <c r="Q416" i="5"/>
  <c r="CS258" i="1"/>
  <c r="N50" i="7"/>
  <c r="E55" i="6" s="1"/>
  <c r="K50" i="7"/>
  <c r="AD257" i="1"/>
  <c r="AB257" i="1" s="1"/>
  <c r="CR257" i="1"/>
  <c r="Q257" i="1" s="1"/>
  <c r="CL168" i="1"/>
  <c r="BC181" i="1"/>
  <c r="CS176" i="1"/>
  <c r="S85" i="1"/>
  <c r="AB80" i="1"/>
  <c r="CT36" i="1"/>
  <c r="S36" i="1" s="1"/>
  <c r="J93" i="5" s="1"/>
  <c r="BZ40" i="1"/>
  <c r="CR30" i="1"/>
  <c r="Q30" i="1" s="1"/>
  <c r="CP30" i="1" s="1"/>
  <c r="O30" i="1" s="1"/>
  <c r="AD30" i="1"/>
  <c r="AB30" i="1" s="1"/>
  <c r="GX28" i="1"/>
  <c r="M65" i="7"/>
  <c r="AD348" i="1"/>
  <c r="U505" i="5"/>
  <c r="S435" i="5"/>
  <c r="Q435" i="5"/>
  <c r="T348" i="1"/>
  <c r="AG353" i="1" s="1"/>
  <c r="CR303" i="1"/>
  <c r="Q303" i="1" s="1"/>
  <c r="J449" i="5" s="1"/>
  <c r="U446" i="5"/>
  <c r="D79" i="8"/>
  <c r="I63" i="7"/>
  <c r="D73" i="6" s="1"/>
  <c r="O63" i="7"/>
  <c r="F73" i="6" s="1"/>
  <c r="M63" i="7"/>
  <c r="D79" i="9"/>
  <c r="T63" i="7"/>
  <c r="E512" i="5"/>
  <c r="C513" i="5"/>
  <c r="R63" i="7"/>
  <c r="I64" i="7"/>
  <c r="D72" i="6" s="1"/>
  <c r="O64" i="7"/>
  <c r="F72" i="6" s="1"/>
  <c r="R64" i="7"/>
  <c r="M64" i="7"/>
  <c r="E501" i="5"/>
  <c r="D77" i="9"/>
  <c r="D77" i="8"/>
  <c r="K504" i="5"/>
  <c r="AD256" i="1"/>
  <c r="AB256" i="1" s="1"/>
  <c r="CR256" i="1"/>
  <c r="CP36" i="1"/>
  <c r="O36" i="1" s="1"/>
  <c r="J96" i="5"/>
  <c r="CT33" i="1"/>
  <c r="S348" i="1"/>
  <c r="Q345" i="1"/>
  <c r="J493" i="5" s="1"/>
  <c r="CX157" i="3"/>
  <c r="D73" i="8"/>
  <c r="D73" i="9"/>
  <c r="E477" i="5"/>
  <c r="C478" i="5"/>
  <c r="T304" i="1"/>
  <c r="R56" i="7"/>
  <c r="D70" i="8"/>
  <c r="I56" i="7"/>
  <c r="D63" i="6" s="1"/>
  <c r="R55" i="7"/>
  <c r="I55" i="7"/>
  <c r="O55" i="7"/>
  <c r="D70" i="9"/>
  <c r="E446" i="5"/>
  <c r="C447" i="5"/>
  <c r="M56" i="7"/>
  <c r="M55" i="7"/>
  <c r="T55" i="7"/>
  <c r="T56" i="7"/>
  <c r="CR302" i="1"/>
  <c r="Q302" i="1" s="1"/>
  <c r="J438" i="5" s="1"/>
  <c r="U435" i="5"/>
  <c r="T301" i="1"/>
  <c r="CX131" i="3"/>
  <c r="D67" i="9"/>
  <c r="D67" i="8"/>
  <c r="E423" i="5"/>
  <c r="C424" i="5"/>
  <c r="I300" i="1"/>
  <c r="CS256" i="1"/>
  <c r="V383" i="5" s="1"/>
  <c r="AD177" i="1"/>
  <c r="U306" i="5"/>
  <c r="CR177" i="1"/>
  <c r="Q177" i="1" s="1"/>
  <c r="V175" i="1"/>
  <c r="U173" i="1"/>
  <c r="T24" i="7"/>
  <c r="D45" i="9"/>
  <c r="I25" i="7"/>
  <c r="D28" i="6" s="1"/>
  <c r="R24" i="7"/>
  <c r="D45" i="8"/>
  <c r="O25" i="7"/>
  <c r="F28" i="6" s="1"/>
  <c r="I24" i="7"/>
  <c r="D29" i="6" s="1"/>
  <c r="E226" i="5"/>
  <c r="M25" i="7"/>
  <c r="C227" i="5"/>
  <c r="O24" i="7"/>
  <c r="F29" i="6" s="1"/>
  <c r="T25" i="7"/>
  <c r="R25" i="7"/>
  <c r="U191" i="5"/>
  <c r="AD124" i="1"/>
  <c r="AB124" i="1" s="1"/>
  <c r="CR124" i="1"/>
  <c r="Q124" i="1" s="1"/>
  <c r="GX85" i="1"/>
  <c r="S97" i="5"/>
  <c r="Q97" i="5"/>
  <c r="D21" i="9"/>
  <c r="D21" i="8"/>
  <c r="C34" i="5"/>
  <c r="E33" i="5"/>
  <c r="AB345" i="1"/>
  <c r="U349" i="1"/>
  <c r="BC426" i="1"/>
  <c r="U424" i="1"/>
  <c r="AD424" i="1"/>
  <c r="U557" i="5"/>
  <c r="BB388" i="1"/>
  <c r="R386" i="1"/>
  <c r="J542" i="5" s="1"/>
  <c r="V538" i="5"/>
  <c r="J546" i="5" s="1"/>
  <c r="BY353" i="1"/>
  <c r="U350" i="1"/>
  <c r="K521" i="5" s="1"/>
  <c r="CR348" i="1"/>
  <c r="Q348" i="1" s="1"/>
  <c r="J507" i="5" s="1"/>
  <c r="I509" i="5" s="1"/>
  <c r="P509" i="5" s="1"/>
  <c r="U347" i="1"/>
  <c r="S497" i="5"/>
  <c r="Q497" i="5"/>
  <c r="S484" i="5"/>
  <c r="Q484" i="5"/>
  <c r="CR305" i="1"/>
  <c r="S60" i="7"/>
  <c r="P60" i="7"/>
  <c r="S457" i="5"/>
  <c r="Q457" i="5"/>
  <c r="V303" i="1"/>
  <c r="CT301" i="1"/>
  <c r="CY298" i="1"/>
  <c r="X298" i="1" s="1"/>
  <c r="R416" i="5" s="1"/>
  <c r="J419" i="5" s="1"/>
  <c r="J418" i="5"/>
  <c r="AD297" i="1"/>
  <c r="AB297" i="1" s="1"/>
  <c r="U409" i="5"/>
  <c r="CR297" i="1"/>
  <c r="Q297" i="1" s="1"/>
  <c r="BB260" i="1"/>
  <c r="CT255" i="1"/>
  <c r="S255" i="1" s="1"/>
  <c r="J379" i="5" s="1"/>
  <c r="Q377" i="5"/>
  <c r="S377" i="5"/>
  <c r="BX168" i="1"/>
  <c r="AO181" i="1"/>
  <c r="CT175" i="1"/>
  <c r="S292" i="5"/>
  <c r="Q292" i="5"/>
  <c r="T173" i="1"/>
  <c r="W131" i="1"/>
  <c r="CS124" i="1"/>
  <c r="V85" i="1"/>
  <c r="I16" i="7"/>
  <c r="D24" i="6" s="1"/>
  <c r="E145" i="5"/>
  <c r="C146" i="5"/>
  <c r="R31" i="1"/>
  <c r="J60" i="5" s="1"/>
  <c r="V57" i="5"/>
  <c r="P349" i="1"/>
  <c r="V300" i="1"/>
  <c r="CI426" i="1"/>
  <c r="CI422" i="1" s="1"/>
  <c r="AS426" i="1"/>
  <c r="AS422" i="1" s="1"/>
  <c r="AT388" i="1"/>
  <c r="AT384" i="1" s="1"/>
  <c r="AD388" i="1"/>
  <c r="J541" i="5"/>
  <c r="AB386" i="1"/>
  <c r="U351" i="1"/>
  <c r="K532" i="5" s="1"/>
  <c r="T349" i="1"/>
  <c r="CT349" i="1"/>
  <c r="S349" i="1" s="1"/>
  <c r="S510" i="5"/>
  <c r="Q510" i="5"/>
  <c r="AD346" i="1"/>
  <c r="U497" i="5"/>
  <c r="V345" i="1"/>
  <c r="AD344" i="1"/>
  <c r="AB344" i="1" s="1"/>
  <c r="U484" i="5"/>
  <c r="V343" i="1"/>
  <c r="AT307" i="1"/>
  <c r="AT294" i="1" s="1"/>
  <c r="K60" i="7"/>
  <c r="N60" i="7"/>
  <c r="CR304" i="1"/>
  <c r="Q304" i="1" s="1"/>
  <c r="J460" i="5" s="1"/>
  <c r="U457" i="5"/>
  <c r="CT302" i="1"/>
  <c r="S302" i="1" s="1"/>
  <c r="J437" i="5" s="1"/>
  <c r="CR301" i="1"/>
  <c r="S52" i="7"/>
  <c r="P52" i="7"/>
  <c r="CT300" i="1"/>
  <c r="S300" i="1" s="1"/>
  <c r="S428" i="5"/>
  <c r="Q428" i="5"/>
  <c r="S399" i="5"/>
  <c r="Q399" i="5"/>
  <c r="AD128" i="1"/>
  <c r="AB128" i="1" s="1"/>
  <c r="CR128" i="1"/>
  <c r="CT125" i="1"/>
  <c r="S125" i="1" s="1"/>
  <c r="J200" i="5" s="1"/>
  <c r="S198" i="5"/>
  <c r="Q198" i="5"/>
  <c r="U85" i="1"/>
  <c r="AD82" i="1"/>
  <c r="U148" i="5"/>
  <c r="CR82" i="1"/>
  <c r="Q82" i="1" s="1"/>
  <c r="J151" i="5" s="1"/>
  <c r="U81" i="1"/>
  <c r="CT38" i="1"/>
  <c r="S38" i="1" s="1"/>
  <c r="S98" i="5"/>
  <c r="Q98" i="5"/>
  <c r="S81" i="5"/>
  <c r="Q81" i="5"/>
  <c r="CR31" i="1"/>
  <c r="Q31" i="1" s="1"/>
  <c r="J59" i="5" s="1"/>
  <c r="I61" i="5" s="1"/>
  <c r="AD31" i="1"/>
  <c r="AB31" i="1" s="1"/>
  <c r="O56" i="7"/>
  <c r="F63" i="6" s="1"/>
  <c r="N62" i="7"/>
  <c r="K62" i="7"/>
  <c r="S477" i="5"/>
  <c r="Q477" i="5"/>
  <c r="U348" i="1"/>
  <c r="AB343" i="1"/>
  <c r="CT130" i="1"/>
  <c r="AO74" i="1"/>
  <c r="F92" i="1"/>
  <c r="T59" i="7"/>
  <c r="S557" i="5"/>
  <c r="Q557" i="5"/>
  <c r="T66" i="7"/>
  <c r="C524" i="5"/>
  <c r="I67" i="7"/>
  <c r="D74" i="6" s="1"/>
  <c r="R66" i="7"/>
  <c r="D80" i="9"/>
  <c r="O67" i="7"/>
  <c r="F74" i="6" s="1"/>
  <c r="I66" i="7"/>
  <c r="D75" i="6" s="1"/>
  <c r="R65" i="7"/>
  <c r="M67" i="7"/>
  <c r="D80" i="8"/>
  <c r="I65" i="7"/>
  <c r="D76" i="6" s="1"/>
  <c r="T67" i="7"/>
  <c r="O65" i="7"/>
  <c r="F76" i="6" s="1"/>
  <c r="E523" i="5"/>
  <c r="R67" i="7"/>
  <c r="M66" i="7"/>
  <c r="T65" i="7"/>
  <c r="CX159" i="3"/>
  <c r="D75" i="9"/>
  <c r="D75" i="8"/>
  <c r="E491" i="5"/>
  <c r="C492" i="5"/>
  <c r="AD426" i="1"/>
  <c r="J560" i="5"/>
  <c r="G384" i="1"/>
  <c r="A79" i="6" s="1"/>
  <c r="AF550" i="5"/>
  <c r="A550" i="5"/>
  <c r="V351" i="1"/>
  <c r="T350" i="1"/>
  <c r="CT350" i="1"/>
  <c r="S350" i="1" s="1"/>
  <c r="J514" i="5" s="1"/>
  <c r="S512" i="5"/>
  <c r="Q512" i="5"/>
  <c r="R349" i="1"/>
  <c r="GK349" i="1" s="1"/>
  <c r="V510" i="5"/>
  <c r="S62" i="7"/>
  <c r="P62" i="7"/>
  <c r="U510" i="5"/>
  <c r="V348" i="1"/>
  <c r="T347" i="1"/>
  <c r="CT347" i="1"/>
  <c r="S347" i="1" s="1"/>
  <c r="Q501" i="5"/>
  <c r="S501" i="5"/>
  <c r="AB346" i="1"/>
  <c r="AP307" i="1"/>
  <c r="CT305" i="1"/>
  <c r="T303" i="1"/>
  <c r="I53" i="7"/>
  <c r="D64" i="6" s="1"/>
  <c r="D69" i="9"/>
  <c r="O53" i="7"/>
  <c r="F64" i="6" s="1"/>
  <c r="M53" i="7"/>
  <c r="D69" i="8"/>
  <c r="T53" i="7"/>
  <c r="R53" i="7"/>
  <c r="I54" i="7"/>
  <c r="D61" i="6" s="1"/>
  <c r="E435" i="5"/>
  <c r="C436" i="5"/>
  <c r="R54" i="7"/>
  <c r="M54" i="7"/>
  <c r="O54" i="7"/>
  <c r="F61" i="6" s="1"/>
  <c r="N52" i="7"/>
  <c r="K52" i="7"/>
  <c r="T300" i="1"/>
  <c r="U428" i="5"/>
  <c r="AD300" i="1"/>
  <c r="AB300" i="1" s="1"/>
  <c r="CR300" i="1"/>
  <c r="Q300" i="1" s="1"/>
  <c r="J429" i="5" s="1"/>
  <c r="I431" i="5" s="1"/>
  <c r="V173" i="1"/>
  <c r="GX131" i="1"/>
  <c r="U131" i="1"/>
  <c r="K235" i="5" s="1"/>
  <c r="BZ88" i="1"/>
  <c r="V112" i="5"/>
  <c r="J119" i="5" s="1"/>
  <c r="R76" i="1"/>
  <c r="CT35" i="1"/>
  <c r="S35" i="1" s="1"/>
  <c r="J83" i="5" s="1"/>
  <c r="AD35" i="1"/>
  <c r="AB35" i="1" s="1"/>
  <c r="U81" i="5"/>
  <c r="CR35" i="1"/>
  <c r="Q35" i="1" s="1"/>
  <c r="J84" i="5" s="1"/>
  <c r="M24" i="7"/>
  <c r="T64" i="7"/>
  <c r="T54" i="7"/>
  <c r="S491" i="5"/>
  <c r="Q491" i="5"/>
  <c r="G341" i="1"/>
  <c r="A70" i="6" s="1"/>
  <c r="AF535" i="5"/>
  <c r="A535" i="5"/>
  <c r="CT124" i="1"/>
  <c r="S124" i="1" s="1"/>
  <c r="J193" i="5" s="1"/>
  <c r="S191" i="5"/>
  <c r="Q191" i="5"/>
  <c r="CT386" i="1"/>
  <c r="S386" i="1" s="1"/>
  <c r="J540" i="5" s="1"/>
  <c r="S538" i="5"/>
  <c r="Q538" i="5"/>
  <c r="G18" i="1"/>
  <c r="A574" i="5"/>
  <c r="A3" i="6"/>
  <c r="AF574" i="5"/>
  <c r="CG426" i="1"/>
  <c r="CG422" i="1" s="1"/>
  <c r="D84" i="9"/>
  <c r="D84" i="8"/>
  <c r="E557" i="5"/>
  <c r="C558" i="5"/>
  <c r="D82" i="8"/>
  <c r="T70" i="7"/>
  <c r="I71" i="7"/>
  <c r="D81" i="6" s="1"/>
  <c r="R70" i="7"/>
  <c r="O71" i="7"/>
  <c r="F81" i="6" s="1"/>
  <c r="I70" i="7"/>
  <c r="D82" i="6" s="1"/>
  <c r="R69" i="7"/>
  <c r="M71" i="7"/>
  <c r="D82" i="9"/>
  <c r="I69" i="7"/>
  <c r="D83" i="6" s="1"/>
  <c r="E538" i="5"/>
  <c r="T71" i="7"/>
  <c r="C539" i="5"/>
  <c r="O69" i="7"/>
  <c r="F83" i="6" s="1"/>
  <c r="R71" i="7"/>
  <c r="T69" i="7"/>
  <c r="M69" i="7"/>
  <c r="O70" i="7"/>
  <c r="F82" i="6" s="1"/>
  <c r="M70" i="7"/>
  <c r="CT351" i="1"/>
  <c r="S351" i="1" s="1"/>
  <c r="J525" i="5" s="1"/>
  <c r="S523" i="5"/>
  <c r="Q523" i="5"/>
  <c r="R350" i="1"/>
  <c r="V512" i="5"/>
  <c r="J520" i="5" s="1"/>
  <c r="U512" i="5"/>
  <c r="CR349" i="1"/>
  <c r="Q349" i="1" s="1"/>
  <c r="AD349" i="1"/>
  <c r="AB349" i="1" s="1"/>
  <c r="R347" i="1"/>
  <c r="J503" i="5" s="1"/>
  <c r="V501" i="5"/>
  <c r="U501" i="5"/>
  <c r="CR346" i="1"/>
  <c r="Q346" i="1" s="1"/>
  <c r="J498" i="5" s="1"/>
  <c r="I500" i="5" s="1"/>
  <c r="P500" i="5" s="1"/>
  <c r="D76" i="8"/>
  <c r="D76" i="9"/>
  <c r="E497" i="5"/>
  <c r="T345" i="1"/>
  <c r="CR344" i="1"/>
  <c r="Q344" i="1" s="1"/>
  <c r="CX158" i="3"/>
  <c r="D74" i="9"/>
  <c r="C485" i="5"/>
  <c r="D74" i="8"/>
  <c r="E484" i="5"/>
  <c r="T343" i="1"/>
  <c r="I305" i="1"/>
  <c r="Q463" i="5" s="1"/>
  <c r="CT304" i="1"/>
  <c r="S304" i="1" s="1"/>
  <c r="J459" i="5" s="1"/>
  <c r="S446" i="5"/>
  <c r="Q446" i="5"/>
  <c r="V302" i="1"/>
  <c r="I301" i="1"/>
  <c r="S432" i="5" s="1"/>
  <c r="CS300" i="1"/>
  <c r="AD179" i="1"/>
  <c r="U322" i="5"/>
  <c r="CR179" i="1"/>
  <c r="Q179" i="1" s="1"/>
  <c r="CT176" i="1"/>
  <c r="S176" i="1" s="1"/>
  <c r="S295" i="5"/>
  <c r="Q295" i="5"/>
  <c r="CX87" i="3"/>
  <c r="D50" i="8"/>
  <c r="D50" i="9"/>
  <c r="E276" i="5"/>
  <c r="C277" i="5"/>
  <c r="AB170" i="1"/>
  <c r="CR76" i="1"/>
  <c r="Q76" i="1" s="1"/>
  <c r="J115" i="5" s="1"/>
  <c r="AD76" i="1"/>
  <c r="AB76" i="1" s="1"/>
  <c r="BX26" i="1"/>
  <c r="CG40" i="1"/>
  <c r="CG26" i="1" s="1"/>
  <c r="AO40" i="1"/>
  <c r="CS35" i="1"/>
  <c r="S299" i="1"/>
  <c r="CZ299" i="1" s="1"/>
  <c r="Y299" i="1" s="1"/>
  <c r="T423" i="5" s="1"/>
  <c r="CX129" i="3"/>
  <c r="D65" i="8"/>
  <c r="D65" i="9"/>
  <c r="E409" i="5"/>
  <c r="C410" i="5"/>
  <c r="I35" i="7"/>
  <c r="D37" i="6" s="1"/>
  <c r="I34" i="7"/>
  <c r="D38" i="6" s="1"/>
  <c r="D56" i="9"/>
  <c r="O34" i="7"/>
  <c r="F38" i="6" s="1"/>
  <c r="T35" i="7"/>
  <c r="M34" i="7"/>
  <c r="D56" i="8"/>
  <c r="E322" i="5"/>
  <c r="C323" i="5"/>
  <c r="T178" i="1"/>
  <c r="I32" i="7"/>
  <c r="O32" i="7"/>
  <c r="D54" i="9"/>
  <c r="M32" i="7"/>
  <c r="D54" i="8"/>
  <c r="E306" i="5"/>
  <c r="C307" i="5"/>
  <c r="V292" i="5"/>
  <c r="S30" i="7"/>
  <c r="P30" i="7"/>
  <c r="U292" i="5"/>
  <c r="CT173" i="1"/>
  <c r="S173" i="1" s="1"/>
  <c r="S283" i="5"/>
  <c r="Q283" i="5"/>
  <c r="W170" i="1"/>
  <c r="AD132" i="1"/>
  <c r="U237" i="5"/>
  <c r="V131" i="1"/>
  <c r="AD130" i="1"/>
  <c r="AB130" i="1" s="1"/>
  <c r="P23" i="7"/>
  <c r="S23" i="7"/>
  <c r="CT126" i="1"/>
  <c r="S126" i="1" s="1"/>
  <c r="S205" i="5"/>
  <c r="Q205" i="5"/>
  <c r="R125" i="1"/>
  <c r="GK125" i="1" s="1"/>
  <c r="V198" i="5"/>
  <c r="U198" i="5"/>
  <c r="CG88" i="1"/>
  <c r="CG74" i="1" s="1"/>
  <c r="G74" i="1"/>
  <c r="A18" i="6" s="1"/>
  <c r="AF184" i="5"/>
  <c r="A184" i="5"/>
  <c r="T85" i="1"/>
  <c r="R21" i="7"/>
  <c r="I21" i="7"/>
  <c r="D22" i="6" s="1"/>
  <c r="D37" i="9"/>
  <c r="D37" i="8"/>
  <c r="T21" i="7"/>
  <c r="E170" i="5"/>
  <c r="C171" i="5"/>
  <c r="I18" i="7"/>
  <c r="D20" i="6" s="1"/>
  <c r="D35" i="9"/>
  <c r="O18" i="7"/>
  <c r="F20" i="6" s="1"/>
  <c r="I17" i="7"/>
  <c r="D35" i="8"/>
  <c r="M18" i="7"/>
  <c r="T17" i="7"/>
  <c r="E148" i="5"/>
  <c r="C149" i="5"/>
  <c r="T81" i="1"/>
  <c r="I80" i="1"/>
  <c r="P80" i="1" s="1"/>
  <c r="CX34" i="3"/>
  <c r="D32" i="9"/>
  <c r="D32" i="8"/>
  <c r="E129" i="5"/>
  <c r="C130" i="5"/>
  <c r="P76" i="1"/>
  <c r="R38" i="1"/>
  <c r="GK38" i="1" s="1"/>
  <c r="V98" i="5"/>
  <c r="S14" i="7"/>
  <c r="P14" i="7"/>
  <c r="U98" i="5"/>
  <c r="R37" i="1"/>
  <c r="GK37" i="1" s="1"/>
  <c r="V97" i="5"/>
  <c r="R36" i="1"/>
  <c r="V92" i="5"/>
  <c r="AD36" i="1"/>
  <c r="AB36" i="1" s="1"/>
  <c r="U92" i="5"/>
  <c r="P8" i="7"/>
  <c r="S8" i="7"/>
  <c r="P31" i="1"/>
  <c r="P30" i="1"/>
  <c r="CX4" i="3"/>
  <c r="D22" i="8"/>
  <c r="D22" i="9"/>
  <c r="E43" i="5"/>
  <c r="C44" i="5"/>
  <c r="M19" i="7"/>
  <c r="R26" i="7"/>
  <c r="R17" i="7"/>
  <c r="R27" i="7"/>
  <c r="S314" i="5"/>
  <c r="Q314" i="5"/>
  <c r="J300" i="5"/>
  <c r="Q175" i="1"/>
  <c r="AB175" i="1"/>
  <c r="R173" i="1"/>
  <c r="J286" i="5" s="1"/>
  <c r="V283" i="5"/>
  <c r="U283" i="5"/>
  <c r="T172" i="1"/>
  <c r="CT172" i="1"/>
  <c r="S172" i="1" s="1"/>
  <c r="S276" i="5"/>
  <c r="Q276" i="5"/>
  <c r="D49" i="9"/>
  <c r="D49" i="8"/>
  <c r="C267" i="5"/>
  <c r="E266" i="5"/>
  <c r="GK170" i="1"/>
  <c r="J260" i="5"/>
  <c r="N23" i="7"/>
  <c r="K23" i="7"/>
  <c r="CT129" i="1"/>
  <c r="CT127" i="1"/>
  <c r="R126" i="1"/>
  <c r="V205" i="5"/>
  <c r="J209" i="5" s="1"/>
  <c r="AB125" i="1"/>
  <c r="S176" i="5"/>
  <c r="Q176" i="5"/>
  <c r="CC88" i="1"/>
  <c r="CC74" i="1" s="1"/>
  <c r="S159" i="5"/>
  <c r="Q159" i="5"/>
  <c r="W81" i="1"/>
  <c r="S145" i="5"/>
  <c r="Q145" i="5"/>
  <c r="AB38" i="1"/>
  <c r="AB37" i="1"/>
  <c r="D27" i="9"/>
  <c r="I12" i="7"/>
  <c r="D12" i="6" s="1"/>
  <c r="D27" i="8"/>
  <c r="O12" i="7"/>
  <c r="F12" i="6" s="1"/>
  <c r="I11" i="7"/>
  <c r="M12" i="7"/>
  <c r="O11" i="7"/>
  <c r="E81" i="5"/>
  <c r="C82" i="5"/>
  <c r="T11" i="7"/>
  <c r="AB33" i="1"/>
  <c r="CX6" i="3"/>
  <c r="D24" i="9"/>
  <c r="D24" i="8"/>
  <c r="C58" i="5"/>
  <c r="E57" i="5"/>
  <c r="CX5" i="3"/>
  <c r="D23" i="9"/>
  <c r="D23" i="8"/>
  <c r="E50" i="5"/>
  <c r="C51" i="5"/>
  <c r="U28" i="1"/>
  <c r="K41" i="5" s="1"/>
  <c r="R20" i="7"/>
  <c r="M35" i="7"/>
  <c r="T20" i="7"/>
  <c r="M11" i="7"/>
  <c r="T34" i="7"/>
  <c r="W300" i="1"/>
  <c r="V299" i="1"/>
  <c r="AD298" i="1"/>
  <c r="AB298" i="1" s="1"/>
  <c r="U416" i="5"/>
  <c r="AD296" i="1"/>
  <c r="AB296" i="1" s="1"/>
  <c r="U399" i="5"/>
  <c r="GX258" i="1"/>
  <c r="GX256" i="1"/>
  <c r="G168" i="1"/>
  <c r="A35" i="6" s="1"/>
  <c r="AF331" i="5"/>
  <c r="A331" i="5"/>
  <c r="AD178" i="1"/>
  <c r="U314" i="5"/>
  <c r="P175" i="1"/>
  <c r="K30" i="7"/>
  <c r="N30" i="7"/>
  <c r="CR173" i="1"/>
  <c r="Q173" i="1" s="1"/>
  <c r="J285" i="5" s="1"/>
  <c r="I287" i="5" s="1"/>
  <c r="P287" i="5" s="1"/>
  <c r="AD173" i="1"/>
  <c r="AB173" i="1" s="1"/>
  <c r="V276" i="5"/>
  <c r="U276" i="5"/>
  <c r="V171" i="1"/>
  <c r="GX170" i="1"/>
  <c r="D48" i="9"/>
  <c r="E256" i="5"/>
  <c r="C257" i="5"/>
  <c r="D48" i="8"/>
  <c r="BC134" i="1"/>
  <c r="I27" i="7"/>
  <c r="D31" i="6" s="1"/>
  <c r="D46" i="9"/>
  <c r="O27" i="7"/>
  <c r="F31" i="6" s="1"/>
  <c r="I26" i="7"/>
  <c r="D32" i="6" s="1"/>
  <c r="D46" i="8"/>
  <c r="T28" i="7"/>
  <c r="M27" i="7"/>
  <c r="R28" i="7"/>
  <c r="O26" i="7"/>
  <c r="F32" i="6" s="1"/>
  <c r="I28" i="7"/>
  <c r="D30" i="6" s="1"/>
  <c r="T26" i="7"/>
  <c r="E237" i="5"/>
  <c r="C238" i="5"/>
  <c r="T131" i="1"/>
  <c r="CR126" i="1"/>
  <c r="Q126" i="1" s="1"/>
  <c r="J207" i="5" s="1"/>
  <c r="I210" i="5" s="1"/>
  <c r="AD126" i="1"/>
  <c r="AB126" i="1" s="1"/>
  <c r="P125" i="1"/>
  <c r="CP125" i="1" s="1"/>
  <c r="O125" i="1" s="1"/>
  <c r="CX59" i="3"/>
  <c r="D39" i="8"/>
  <c r="D39" i="9"/>
  <c r="E191" i="5"/>
  <c r="C192" i="5"/>
  <c r="U176" i="5"/>
  <c r="V84" i="1"/>
  <c r="AD83" i="1"/>
  <c r="U159" i="5"/>
  <c r="V82" i="1"/>
  <c r="AD81" i="1"/>
  <c r="S16" i="7"/>
  <c r="T16" i="7" s="1"/>
  <c r="P16" i="7"/>
  <c r="U145" i="5"/>
  <c r="S136" i="5"/>
  <c r="Q136" i="5"/>
  <c r="CT78" i="1"/>
  <c r="S78" i="1" s="1"/>
  <c r="S129" i="5"/>
  <c r="Q129" i="5"/>
  <c r="CX33" i="3"/>
  <c r="D31" i="9"/>
  <c r="E122" i="5"/>
  <c r="C123" i="5"/>
  <c r="D31" i="8"/>
  <c r="G26" i="1"/>
  <c r="A9" i="6" s="1"/>
  <c r="AF105" i="5"/>
  <c r="A105" i="5"/>
  <c r="P38" i="1"/>
  <c r="CP38" i="1" s="1"/>
  <c r="O38" i="1" s="1"/>
  <c r="J98" i="5" s="1"/>
  <c r="N14" i="7"/>
  <c r="K14" i="7"/>
  <c r="P37" i="1"/>
  <c r="CP37" i="1" s="1"/>
  <c r="O37" i="1" s="1"/>
  <c r="J97" i="5" s="1"/>
  <c r="W35" i="1"/>
  <c r="S70" i="5"/>
  <c r="Q70" i="5"/>
  <c r="N8" i="7"/>
  <c r="K8" i="7"/>
  <c r="U29" i="1"/>
  <c r="K48" i="5" s="1"/>
  <c r="V28" i="1"/>
  <c r="M9" i="7"/>
  <c r="R10" i="7"/>
  <c r="R12" i="7"/>
  <c r="BZ181" i="1"/>
  <c r="W175" i="1"/>
  <c r="P173" i="1"/>
  <c r="Q172" i="1"/>
  <c r="AB172" i="1"/>
  <c r="GX171" i="1"/>
  <c r="CT171" i="1"/>
  <c r="S171" i="1" s="1"/>
  <c r="S266" i="5"/>
  <c r="Q266" i="5"/>
  <c r="AO134" i="1"/>
  <c r="S226" i="5"/>
  <c r="Q226" i="5"/>
  <c r="BZ134" i="1"/>
  <c r="AB127" i="1"/>
  <c r="CX60" i="3"/>
  <c r="D40" i="9"/>
  <c r="D40" i="8"/>
  <c r="E198" i="5"/>
  <c r="C199" i="5"/>
  <c r="GX81" i="1"/>
  <c r="S81" i="1"/>
  <c r="CZ81" i="1" s="1"/>
  <c r="Y81" i="1" s="1"/>
  <c r="T145" i="5" s="1"/>
  <c r="K16" i="7"/>
  <c r="N16" i="7"/>
  <c r="AD79" i="1"/>
  <c r="AB79" i="1" s="1"/>
  <c r="U136" i="5"/>
  <c r="GX76" i="1"/>
  <c r="D30" i="9"/>
  <c r="D30" i="8"/>
  <c r="E112" i="5"/>
  <c r="C113" i="5"/>
  <c r="I14" i="7"/>
  <c r="D15" i="6" s="1"/>
  <c r="E98" i="5"/>
  <c r="V35" i="1"/>
  <c r="U34" i="1"/>
  <c r="K79" i="5" s="1"/>
  <c r="AD34" i="1"/>
  <c r="U70" i="5"/>
  <c r="CT32" i="1"/>
  <c r="U31" i="1"/>
  <c r="U30" i="1"/>
  <c r="K55" i="5" s="1"/>
  <c r="T28" i="1"/>
  <c r="CT28" i="1"/>
  <c r="S28" i="1" s="1"/>
  <c r="J35" i="5" s="1"/>
  <c r="S33" i="5"/>
  <c r="Q33" i="5"/>
  <c r="M21" i="7"/>
  <c r="T12" i="7"/>
  <c r="O35" i="7"/>
  <c r="F37" i="6" s="1"/>
  <c r="R11" i="7"/>
  <c r="O21" i="7"/>
  <c r="F22" i="6" s="1"/>
  <c r="T299" i="1"/>
  <c r="CR298" i="1"/>
  <c r="Q298" i="1" s="1"/>
  <c r="CX130" i="3"/>
  <c r="D66" i="9"/>
  <c r="D66" i="8"/>
  <c r="C417" i="5"/>
  <c r="E416" i="5"/>
  <c r="T297" i="1"/>
  <c r="CR296" i="1"/>
  <c r="Q296" i="1" s="1"/>
  <c r="J402" i="5" s="1"/>
  <c r="D64" i="9"/>
  <c r="D64" i="8"/>
  <c r="E399" i="5"/>
  <c r="C400" i="5"/>
  <c r="R255" i="1"/>
  <c r="J381" i="5" s="1"/>
  <c r="V377" i="5"/>
  <c r="CR178" i="1"/>
  <c r="Q178" i="1" s="1"/>
  <c r="D55" i="9"/>
  <c r="D55" i="8"/>
  <c r="T33" i="7"/>
  <c r="R33" i="7"/>
  <c r="I33" i="7"/>
  <c r="C315" i="5"/>
  <c r="E314" i="5"/>
  <c r="D53" i="8"/>
  <c r="I31" i="7"/>
  <c r="D53" i="9"/>
  <c r="E295" i="5"/>
  <c r="C296" i="5"/>
  <c r="T31" i="7"/>
  <c r="CR174" i="1"/>
  <c r="W173" i="1"/>
  <c r="P172" i="1"/>
  <c r="CP172" i="1" s="1"/>
  <c r="O172" i="1" s="1"/>
  <c r="R171" i="1"/>
  <c r="J270" i="5" s="1"/>
  <c r="V266" i="5"/>
  <c r="J273" i="5" s="1"/>
  <c r="U266" i="5"/>
  <c r="CT170" i="1"/>
  <c r="S170" i="1" s="1"/>
  <c r="Q256" i="5"/>
  <c r="S256" i="5"/>
  <c r="G122" i="1"/>
  <c r="A26" i="6" s="1"/>
  <c r="AF249" i="5"/>
  <c r="A249" i="5"/>
  <c r="V132" i="1"/>
  <c r="AD131" i="1"/>
  <c r="U226" i="5"/>
  <c r="CX61" i="3"/>
  <c r="D41" i="9"/>
  <c r="D41" i="8"/>
  <c r="C206" i="5"/>
  <c r="E205" i="5"/>
  <c r="BC88" i="1"/>
  <c r="S177" i="5"/>
  <c r="Q177" i="5"/>
  <c r="Q85" i="1"/>
  <c r="D36" i="8"/>
  <c r="T19" i="7"/>
  <c r="I20" i="7"/>
  <c r="D21" i="6" s="1"/>
  <c r="R19" i="7"/>
  <c r="D36" i="9"/>
  <c r="I19" i="7"/>
  <c r="E159" i="5"/>
  <c r="M20" i="7"/>
  <c r="C160" i="5"/>
  <c r="T82" i="1"/>
  <c r="Q81" i="1"/>
  <c r="CT80" i="1"/>
  <c r="S79" i="1"/>
  <c r="CR78" i="1"/>
  <c r="Q78" i="1" s="1"/>
  <c r="CP78" i="1" s="1"/>
  <c r="O78" i="1" s="1"/>
  <c r="AD78" i="1"/>
  <c r="AB78" i="1" s="1"/>
  <c r="CT77" i="1"/>
  <c r="S77" i="1" s="1"/>
  <c r="S122" i="5"/>
  <c r="Q122" i="5"/>
  <c r="V37" i="1"/>
  <c r="U35" i="1"/>
  <c r="K90" i="5" s="1"/>
  <c r="CT34" i="1"/>
  <c r="S34" i="1" s="1"/>
  <c r="J72" i="5" s="1"/>
  <c r="AB34" i="1"/>
  <c r="CR32" i="1"/>
  <c r="CT29" i="1"/>
  <c r="S29" i="1" s="1"/>
  <c r="J45" i="5" s="1"/>
  <c r="Q43" i="5"/>
  <c r="S43" i="5"/>
  <c r="R28" i="1"/>
  <c r="V33" i="5"/>
  <c r="J40" i="5" s="1"/>
  <c r="U33" i="5"/>
  <c r="M17" i="7"/>
  <c r="R35" i="7"/>
  <c r="M26" i="7"/>
  <c r="O17" i="7"/>
  <c r="S423" i="5"/>
  <c r="Q423" i="5"/>
  <c r="S409" i="5"/>
  <c r="Q409" i="5"/>
  <c r="AB255" i="1"/>
  <c r="S322" i="5"/>
  <c r="Q322" i="5"/>
  <c r="S306" i="5"/>
  <c r="Q306" i="5"/>
  <c r="U175" i="1"/>
  <c r="W172" i="1"/>
  <c r="Q171" i="1"/>
  <c r="J269" i="5" s="1"/>
  <c r="AB171" i="1"/>
  <c r="CT131" i="1"/>
  <c r="S131" i="1" s="1"/>
  <c r="J228" i="5" s="1"/>
  <c r="S215" i="5"/>
  <c r="I127" i="1"/>
  <c r="GX127" i="1" s="1"/>
  <c r="U125" i="1"/>
  <c r="K203" i="5" s="1"/>
  <c r="U86" i="1"/>
  <c r="U177" i="5"/>
  <c r="S170" i="5"/>
  <c r="Q170" i="5"/>
  <c r="S148" i="5"/>
  <c r="Q148" i="5"/>
  <c r="CR79" i="1"/>
  <c r="Q79" i="1" s="1"/>
  <c r="J138" i="5" s="1"/>
  <c r="I140" i="5" s="1"/>
  <c r="P140" i="5" s="1"/>
  <c r="CX35" i="3"/>
  <c r="D33" i="8"/>
  <c r="D33" i="9"/>
  <c r="E136" i="5"/>
  <c r="C137" i="5"/>
  <c r="R77" i="1"/>
  <c r="GK77" i="1" s="1"/>
  <c r="V122" i="5"/>
  <c r="T76" i="1"/>
  <c r="CT76" i="1"/>
  <c r="S76" i="1" s="1"/>
  <c r="S112" i="5"/>
  <c r="Q112" i="5"/>
  <c r="T35" i="1"/>
  <c r="D26" i="9"/>
  <c r="T9" i="7"/>
  <c r="I10" i="7"/>
  <c r="D11" i="6" s="1"/>
  <c r="D26" i="8"/>
  <c r="O10" i="7"/>
  <c r="F11" i="6" s="1"/>
  <c r="I9" i="7"/>
  <c r="D14" i="6" s="1"/>
  <c r="E70" i="5"/>
  <c r="C71" i="5"/>
  <c r="M10" i="7"/>
  <c r="T31" i="1"/>
  <c r="CT31" i="1"/>
  <c r="S31" i="1" s="1"/>
  <c r="S57" i="5"/>
  <c r="Q57" i="5"/>
  <c r="T30" i="1"/>
  <c r="CT30" i="1"/>
  <c r="S30" i="1" s="1"/>
  <c r="S50" i="5"/>
  <c r="Q50" i="5"/>
  <c r="R29" i="1"/>
  <c r="GK29" i="1" s="1"/>
  <c r="V43" i="5"/>
  <c r="Q28" i="1"/>
  <c r="J36" i="5" s="1"/>
  <c r="AB28" i="1"/>
  <c r="M33" i="7"/>
  <c r="R32" i="7"/>
  <c r="R18" i="7"/>
  <c r="O9" i="7"/>
  <c r="F14" i="6" s="1"/>
  <c r="R31" i="7"/>
  <c r="P257" i="1"/>
  <c r="U256" i="1"/>
  <c r="T258" i="1"/>
  <c r="S258" i="1"/>
  <c r="CB260" i="1"/>
  <c r="CB253" i="1" s="1"/>
  <c r="V256" i="1"/>
  <c r="BZ260" i="1"/>
  <c r="BZ253" i="1" s="1"/>
  <c r="T256" i="1"/>
  <c r="S256" i="1"/>
  <c r="Q258" i="1"/>
  <c r="R258" i="1"/>
  <c r="GK258" i="1" s="1"/>
  <c r="CC260" i="1"/>
  <c r="AT260" i="1" s="1"/>
  <c r="Q256" i="1"/>
  <c r="CP256" i="1" s="1"/>
  <c r="O256" i="1" s="1"/>
  <c r="J383" i="5" s="1"/>
  <c r="G253" i="1"/>
  <c r="A52" i="6" s="1"/>
  <c r="AF392" i="5"/>
  <c r="A392" i="5"/>
  <c r="W257" i="1"/>
  <c r="P258" i="1"/>
  <c r="CP258" i="1" s="1"/>
  <c r="O258" i="1" s="1"/>
  <c r="J385" i="5" s="1"/>
  <c r="U257" i="1"/>
  <c r="U385" i="5"/>
  <c r="S385" i="5"/>
  <c r="Q385" i="5"/>
  <c r="I50" i="7"/>
  <c r="E385" i="5"/>
  <c r="V385" i="5"/>
  <c r="V257" i="1"/>
  <c r="T257" i="1"/>
  <c r="S257" i="1"/>
  <c r="BY260" i="1"/>
  <c r="BY253" i="1" s="1"/>
  <c r="S384" i="5"/>
  <c r="Q384" i="5"/>
  <c r="E384" i="5"/>
  <c r="V384" i="5"/>
  <c r="U384" i="5"/>
  <c r="U258" i="1"/>
  <c r="GX257" i="1"/>
  <c r="CJ260" i="1" s="1"/>
  <c r="CJ253" i="1" s="1"/>
  <c r="R257" i="1"/>
  <c r="GK257" i="1" s="1"/>
  <c r="Q383" i="5"/>
  <c r="E383" i="5"/>
  <c r="U383" i="5"/>
  <c r="S383" i="5"/>
  <c r="V258" i="1"/>
  <c r="K368" i="5"/>
  <c r="P368" i="5"/>
  <c r="K356" i="5"/>
  <c r="P356" i="5"/>
  <c r="AI422" i="1"/>
  <c r="V426" i="1"/>
  <c r="CP386" i="1"/>
  <c r="O386" i="1" s="1"/>
  <c r="AC388" i="1"/>
  <c r="CJ422" i="1"/>
  <c r="BA426" i="1"/>
  <c r="AJ422" i="1"/>
  <c r="W426" i="1"/>
  <c r="CZ424" i="1"/>
  <c r="Y424" i="1" s="1"/>
  <c r="CY424" i="1"/>
  <c r="X424" i="1" s="1"/>
  <c r="AF426" i="1"/>
  <c r="AB424" i="1"/>
  <c r="BY384" i="1"/>
  <c r="AP388" i="1"/>
  <c r="CI388" i="1"/>
  <c r="AG384" i="1"/>
  <c r="T388" i="1"/>
  <c r="AD384" i="1"/>
  <c r="Q388" i="1"/>
  <c r="AJ384" i="1"/>
  <c r="W388" i="1"/>
  <c r="AH384" i="1"/>
  <c r="U388" i="1"/>
  <c r="CY386" i="1"/>
  <c r="X386" i="1" s="1"/>
  <c r="AF388" i="1"/>
  <c r="CZ386" i="1"/>
  <c r="Y386" i="1" s="1"/>
  <c r="CY351" i="1"/>
  <c r="X351" i="1" s="1"/>
  <c r="R523" i="5" s="1"/>
  <c r="J529" i="5" s="1"/>
  <c r="CZ351" i="1"/>
  <c r="Y351" i="1" s="1"/>
  <c r="T523" i="5" s="1"/>
  <c r="J530" i="5" s="1"/>
  <c r="CY349" i="1"/>
  <c r="X349" i="1" s="1"/>
  <c r="R510" i="5" s="1"/>
  <c r="CZ349" i="1"/>
  <c r="Y349" i="1" s="1"/>
  <c r="T510" i="5" s="1"/>
  <c r="CZ348" i="1"/>
  <c r="Y348" i="1" s="1"/>
  <c r="T505" i="5" s="1"/>
  <c r="CY348" i="1"/>
  <c r="X348" i="1" s="1"/>
  <c r="R505" i="5" s="1"/>
  <c r="AB348" i="1"/>
  <c r="CP347" i="1"/>
  <c r="O347" i="1" s="1"/>
  <c r="CY304" i="1"/>
  <c r="X304" i="1" s="1"/>
  <c r="R457" i="5" s="1"/>
  <c r="CZ304" i="1"/>
  <c r="Y304" i="1" s="1"/>
  <c r="T457" i="5" s="1"/>
  <c r="CY302" i="1"/>
  <c r="X302" i="1" s="1"/>
  <c r="R435" i="5" s="1"/>
  <c r="J441" i="5" s="1"/>
  <c r="CZ302" i="1"/>
  <c r="Y302" i="1" s="1"/>
  <c r="T435" i="5" s="1"/>
  <c r="J442" i="5" s="1"/>
  <c r="AD422" i="1"/>
  <c r="Q426" i="1"/>
  <c r="AG422" i="1"/>
  <c r="T426" i="1"/>
  <c r="AI384" i="1"/>
  <c r="V388" i="1"/>
  <c r="GK386" i="1"/>
  <c r="AE388" i="1"/>
  <c r="AP353" i="1"/>
  <c r="BY341" i="1"/>
  <c r="CI353" i="1"/>
  <c r="CY347" i="1"/>
  <c r="X347" i="1" s="1"/>
  <c r="R501" i="5" s="1"/>
  <c r="CZ347" i="1"/>
  <c r="Y347" i="1" s="1"/>
  <c r="T501" i="5" s="1"/>
  <c r="CZ346" i="1"/>
  <c r="Y346" i="1" s="1"/>
  <c r="T497" i="5" s="1"/>
  <c r="CY346" i="1"/>
  <c r="X346" i="1" s="1"/>
  <c r="R497" i="5" s="1"/>
  <c r="CZ345" i="1"/>
  <c r="Y345" i="1" s="1"/>
  <c r="T491" i="5" s="1"/>
  <c r="CY345" i="1"/>
  <c r="X345" i="1" s="1"/>
  <c r="R491" i="5" s="1"/>
  <c r="CZ344" i="1"/>
  <c r="Y344" i="1" s="1"/>
  <c r="T484" i="5" s="1"/>
  <c r="J488" i="5" s="1"/>
  <c r="CY344" i="1"/>
  <c r="X344" i="1" s="1"/>
  <c r="R484" i="5" s="1"/>
  <c r="J487" i="5" s="1"/>
  <c r="I490" i="5" s="1"/>
  <c r="AJ353" i="1"/>
  <c r="CZ343" i="1"/>
  <c r="Y343" i="1" s="1"/>
  <c r="AF353" i="1"/>
  <c r="CY343" i="1"/>
  <c r="X343" i="1" s="1"/>
  <c r="CY303" i="1"/>
  <c r="X303" i="1" s="1"/>
  <c r="R446" i="5" s="1"/>
  <c r="J452" i="5" s="1"/>
  <c r="CZ303" i="1"/>
  <c r="Y303" i="1" s="1"/>
  <c r="T446" i="5" s="1"/>
  <c r="J453" i="5" s="1"/>
  <c r="BB426" i="1"/>
  <c r="AZ426" i="1"/>
  <c r="AX426" i="1"/>
  <c r="AT426" i="1"/>
  <c r="AP426" i="1"/>
  <c r="CS424" i="1"/>
  <c r="CQ424" i="1"/>
  <c r="P424" i="1" s="1"/>
  <c r="CX186" i="3"/>
  <c r="CX185" i="3"/>
  <c r="CX187" i="3"/>
  <c r="CG388" i="1"/>
  <c r="BC388" i="1"/>
  <c r="BA388" i="1"/>
  <c r="AS388" i="1"/>
  <c r="AQ388" i="1"/>
  <c r="AO388" i="1"/>
  <c r="F371" i="1"/>
  <c r="CG353" i="1"/>
  <c r="BC353" i="1"/>
  <c r="AQ353" i="1"/>
  <c r="AO353" i="1"/>
  <c r="CS348" i="1"/>
  <c r="CQ348" i="1"/>
  <c r="P348" i="1" s="1"/>
  <c r="CX164" i="3"/>
  <c r="CX165" i="3"/>
  <c r="CS346" i="1"/>
  <c r="CQ346" i="1"/>
  <c r="P346" i="1" s="1"/>
  <c r="CX160" i="3"/>
  <c r="CX161" i="3"/>
  <c r="CS345" i="1"/>
  <c r="CQ345" i="1"/>
  <c r="P345" i="1" s="1"/>
  <c r="CS344" i="1"/>
  <c r="CQ344" i="1"/>
  <c r="P344" i="1" s="1"/>
  <c r="CP344" i="1" s="1"/>
  <c r="O344" i="1" s="1"/>
  <c r="CS343" i="1"/>
  <c r="CQ343" i="1"/>
  <c r="P343" i="1" s="1"/>
  <c r="F325" i="1"/>
  <c r="CI307" i="1"/>
  <c r="CG307" i="1"/>
  <c r="BC307" i="1"/>
  <c r="AQ307" i="1"/>
  <c r="AO307" i="1"/>
  <c r="CQ305" i="1"/>
  <c r="P305" i="1" s="1"/>
  <c r="CQ304" i="1"/>
  <c r="P304" i="1" s="1"/>
  <c r="CQ303" i="1"/>
  <c r="P303" i="1" s="1"/>
  <c r="CQ302" i="1"/>
  <c r="P302" i="1" s="1"/>
  <c r="CQ301" i="1"/>
  <c r="P301" i="1" s="1"/>
  <c r="CQ299" i="1"/>
  <c r="P299" i="1" s="1"/>
  <c r="CZ298" i="1"/>
  <c r="Y298" i="1" s="1"/>
  <c r="T416" i="5" s="1"/>
  <c r="J420" i="5" s="1"/>
  <c r="CY258" i="1"/>
  <c r="X258" i="1" s="1"/>
  <c r="R385" i="5" s="1"/>
  <c r="CZ258" i="1"/>
  <c r="Y258" i="1" s="1"/>
  <c r="T385" i="5" s="1"/>
  <c r="CY256" i="1"/>
  <c r="X256" i="1" s="1"/>
  <c r="R383" i="5" s="1"/>
  <c r="CZ256" i="1"/>
  <c r="Y256" i="1" s="1"/>
  <c r="T383" i="5" s="1"/>
  <c r="GK255" i="1"/>
  <c r="CP255" i="1"/>
  <c r="O255" i="1" s="1"/>
  <c r="CZ179" i="1"/>
  <c r="Y179" i="1" s="1"/>
  <c r="T322" i="5" s="1"/>
  <c r="J327" i="5" s="1"/>
  <c r="CY179" i="1"/>
  <c r="X179" i="1" s="1"/>
  <c r="R322" i="5" s="1"/>
  <c r="J326" i="5" s="1"/>
  <c r="AB179" i="1"/>
  <c r="CZ178" i="1"/>
  <c r="Y178" i="1" s="1"/>
  <c r="T314" i="5" s="1"/>
  <c r="J319" i="5" s="1"/>
  <c r="CY178" i="1"/>
  <c r="X178" i="1" s="1"/>
  <c r="R314" i="5" s="1"/>
  <c r="J318" i="5" s="1"/>
  <c r="AB178" i="1"/>
  <c r="CZ177" i="1"/>
  <c r="Y177" i="1" s="1"/>
  <c r="T306" i="5" s="1"/>
  <c r="J311" i="5" s="1"/>
  <c r="CY177" i="1"/>
  <c r="X177" i="1" s="1"/>
  <c r="R306" i="5" s="1"/>
  <c r="J310" i="5" s="1"/>
  <c r="AB177" i="1"/>
  <c r="BZ168" i="1"/>
  <c r="AQ181" i="1"/>
  <c r="CG181" i="1"/>
  <c r="CI181" i="1"/>
  <c r="CP170" i="1"/>
  <c r="O170" i="1" s="1"/>
  <c r="CX180" i="3"/>
  <c r="CX182" i="3"/>
  <c r="CX184" i="3"/>
  <c r="CX179" i="3"/>
  <c r="CX181" i="3"/>
  <c r="CX183" i="3"/>
  <c r="CX174" i="3"/>
  <c r="CX175" i="3"/>
  <c r="CX176" i="3"/>
  <c r="CX178" i="3"/>
  <c r="CX177" i="3"/>
  <c r="CX166" i="3"/>
  <c r="CX168" i="3"/>
  <c r="CX170" i="3"/>
  <c r="CX172" i="3"/>
  <c r="CX167" i="3"/>
  <c r="CX169" i="3"/>
  <c r="CX171" i="3"/>
  <c r="CX173" i="3"/>
  <c r="CX162" i="3"/>
  <c r="CX163" i="3"/>
  <c r="AD305" i="1"/>
  <c r="AB305" i="1" s="1"/>
  <c r="CS305" i="1"/>
  <c r="AD304" i="1"/>
  <c r="AB304" i="1" s="1"/>
  <c r="CS304" i="1"/>
  <c r="AD303" i="1"/>
  <c r="AB303" i="1" s="1"/>
  <c r="CS303" i="1"/>
  <c r="AD302" i="1"/>
  <c r="AB302" i="1" s="1"/>
  <c r="CS302" i="1"/>
  <c r="AD301" i="1"/>
  <c r="AB301" i="1" s="1"/>
  <c r="CS301" i="1"/>
  <c r="AD299" i="1"/>
  <c r="AB299" i="1" s="1"/>
  <c r="CS299" i="1"/>
  <c r="CZ297" i="1"/>
  <c r="Y297" i="1" s="1"/>
  <c r="T409" i="5" s="1"/>
  <c r="J413" i="5" s="1"/>
  <c r="CY297" i="1"/>
  <c r="X297" i="1" s="1"/>
  <c r="R409" i="5" s="1"/>
  <c r="J412" i="5" s="1"/>
  <c r="I415" i="5" s="1"/>
  <c r="CZ296" i="1"/>
  <c r="Y296" i="1" s="1"/>
  <c r="CY296" i="1"/>
  <c r="X296" i="1" s="1"/>
  <c r="CY257" i="1"/>
  <c r="X257" i="1" s="1"/>
  <c r="R384" i="5" s="1"/>
  <c r="CZ257" i="1"/>
  <c r="Y257" i="1" s="1"/>
  <c r="T384" i="5" s="1"/>
  <c r="AJ260" i="1"/>
  <c r="CY255" i="1"/>
  <c r="X255" i="1" s="1"/>
  <c r="R377" i="5" s="1"/>
  <c r="CZ255" i="1"/>
  <c r="Y255" i="1" s="1"/>
  <c r="GK171" i="1"/>
  <c r="CX150" i="3"/>
  <c r="CX152" i="3"/>
  <c r="CX154" i="3"/>
  <c r="CX156" i="3"/>
  <c r="CX151" i="3"/>
  <c r="CX153" i="3"/>
  <c r="CX155" i="3"/>
  <c r="CX142" i="3"/>
  <c r="CX144" i="3"/>
  <c r="CX146" i="3"/>
  <c r="CX148" i="3"/>
  <c r="CX141" i="3"/>
  <c r="CX143" i="3"/>
  <c r="CX145" i="3"/>
  <c r="CX147" i="3"/>
  <c r="CX149" i="3"/>
  <c r="CX134" i="3"/>
  <c r="CX136" i="3"/>
  <c r="CX138" i="3"/>
  <c r="CX140" i="3"/>
  <c r="CX133" i="3"/>
  <c r="CX135" i="3"/>
  <c r="CX137" i="3"/>
  <c r="CX139" i="3"/>
  <c r="CS298" i="1"/>
  <c r="CQ298" i="1"/>
  <c r="P298" i="1" s="1"/>
  <c r="CP298" i="1" s="1"/>
  <c r="O298" i="1" s="1"/>
  <c r="CS297" i="1"/>
  <c r="CQ297" i="1"/>
  <c r="P297" i="1" s="1"/>
  <c r="CP297" i="1" s="1"/>
  <c r="O297" i="1" s="1"/>
  <c r="CS296" i="1"/>
  <c r="CQ296" i="1"/>
  <c r="P296" i="1" s="1"/>
  <c r="CX126" i="3"/>
  <c r="CX128" i="3"/>
  <c r="CX127" i="3"/>
  <c r="CG260" i="1"/>
  <c r="BC260" i="1"/>
  <c r="AS260" i="1"/>
  <c r="AQ260" i="1"/>
  <c r="AO260" i="1"/>
  <c r="BB181" i="1"/>
  <c r="AP181" i="1"/>
  <c r="CS179" i="1"/>
  <c r="CQ179" i="1"/>
  <c r="P179" i="1" s="1"/>
  <c r="CX98" i="3"/>
  <c r="CX100" i="3"/>
  <c r="CX99" i="3"/>
  <c r="CS178" i="1"/>
  <c r="CQ178" i="1"/>
  <c r="P178" i="1" s="1"/>
  <c r="CX96" i="3"/>
  <c r="CX97" i="3"/>
  <c r="CS177" i="1"/>
  <c r="CQ177" i="1"/>
  <c r="P177" i="1" s="1"/>
  <c r="CX94" i="3"/>
  <c r="CX95" i="3"/>
  <c r="CX90" i="3"/>
  <c r="CX92" i="3"/>
  <c r="CX91" i="3"/>
  <c r="CX93" i="3"/>
  <c r="CQ174" i="1"/>
  <c r="CX88" i="3"/>
  <c r="I174" i="1"/>
  <c r="S288" i="5" s="1"/>
  <c r="GX172" i="1"/>
  <c r="CX84" i="3"/>
  <c r="CX86" i="3"/>
  <c r="CX85" i="3"/>
  <c r="AB132" i="1"/>
  <c r="CZ131" i="1"/>
  <c r="Y131" i="1" s="1"/>
  <c r="T226" i="5" s="1"/>
  <c r="J233" i="5" s="1"/>
  <c r="CY131" i="1"/>
  <c r="X131" i="1" s="1"/>
  <c r="R226" i="5" s="1"/>
  <c r="J232" i="5" s="1"/>
  <c r="AB131" i="1"/>
  <c r="AQ134" i="1"/>
  <c r="CG134" i="1"/>
  <c r="CI134" i="1"/>
  <c r="BZ122" i="1"/>
  <c r="CP126" i="1"/>
  <c r="O126" i="1" s="1"/>
  <c r="CY125" i="1"/>
  <c r="X125" i="1" s="1"/>
  <c r="R198" i="5" s="1"/>
  <c r="J201" i="5" s="1"/>
  <c r="CZ125" i="1"/>
  <c r="Y125" i="1" s="1"/>
  <c r="T198" i="5" s="1"/>
  <c r="J202" i="5" s="1"/>
  <c r="CX116" i="3"/>
  <c r="CX118" i="3"/>
  <c r="CX120" i="3"/>
  <c r="CX122" i="3"/>
  <c r="CX124" i="3"/>
  <c r="CX115" i="3"/>
  <c r="CX117" i="3"/>
  <c r="CX119" i="3"/>
  <c r="CX121" i="3"/>
  <c r="CX123" i="3"/>
  <c r="CX125" i="3"/>
  <c r="CX108" i="3"/>
  <c r="CX110" i="3"/>
  <c r="CX112" i="3"/>
  <c r="CX114" i="3"/>
  <c r="CX109" i="3"/>
  <c r="CX111" i="3"/>
  <c r="CX113" i="3"/>
  <c r="CX106" i="3"/>
  <c r="CX105" i="3"/>
  <c r="CX107" i="3"/>
  <c r="CX102" i="3"/>
  <c r="CX104" i="3"/>
  <c r="CX101" i="3"/>
  <c r="CX103" i="3"/>
  <c r="AD174" i="1"/>
  <c r="AB174" i="1" s="1"/>
  <c r="CS174" i="1"/>
  <c r="CX82" i="3"/>
  <c r="CX81" i="3"/>
  <c r="CX83" i="3"/>
  <c r="CY126" i="1"/>
  <c r="X126" i="1" s="1"/>
  <c r="R205" i="5" s="1"/>
  <c r="CZ126" i="1"/>
  <c r="Y126" i="1" s="1"/>
  <c r="T205" i="5" s="1"/>
  <c r="GP125" i="1"/>
  <c r="GM125" i="1"/>
  <c r="CY124" i="1"/>
  <c r="X124" i="1" s="1"/>
  <c r="R191" i="5" s="1"/>
  <c r="J194" i="5" s="1"/>
  <c r="CZ124" i="1"/>
  <c r="Y124" i="1" s="1"/>
  <c r="T191" i="5" s="1"/>
  <c r="J195" i="5" s="1"/>
  <c r="BB134" i="1"/>
  <c r="AT134" i="1"/>
  <c r="AP134" i="1"/>
  <c r="CS132" i="1"/>
  <c r="CQ132" i="1"/>
  <c r="P132" i="1" s="1"/>
  <c r="CX76" i="3"/>
  <c r="CX78" i="3"/>
  <c r="CX80" i="3"/>
  <c r="CX77" i="3"/>
  <c r="CX79" i="3"/>
  <c r="CS131" i="1"/>
  <c r="CQ131" i="1"/>
  <c r="P131" i="1" s="1"/>
  <c r="CX68" i="3"/>
  <c r="CX70" i="3"/>
  <c r="CX72" i="3"/>
  <c r="CX74" i="3"/>
  <c r="CX69" i="3"/>
  <c r="CX71" i="3"/>
  <c r="CX73" i="3"/>
  <c r="CX75" i="3"/>
  <c r="CS130" i="1"/>
  <c r="CQ130" i="1"/>
  <c r="CS128" i="1"/>
  <c r="CQ128" i="1"/>
  <c r="I128" i="1"/>
  <c r="CK74" i="1"/>
  <c r="BB88" i="1"/>
  <c r="AD86" i="1"/>
  <c r="AB86" i="1" s="1"/>
  <c r="CS86" i="1"/>
  <c r="AD85" i="1"/>
  <c r="CS85" i="1"/>
  <c r="CZ84" i="1"/>
  <c r="Y84" i="1" s="1"/>
  <c r="T170" i="5" s="1"/>
  <c r="CY84" i="1"/>
  <c r="X84" i="1" s="1"/>
  <c r="R170" i="5" s="1"/>
  <c r="AB84" i="1"/>
  <c r="CZ83" i="1"/>
  <c r="Y83" i="1" s="1"/>
  <c r="T159" i="5" s="1"/>
  <c r="J166" i="5" s="1"/>
  <c r="CY83" i="1"/>
  <c r="X83" i="1" s="1"/>
  <c r="R159" i="5" s="1"/>
  <c r="J165" i="5" s="1"/>
  <c r="AB83" i="1"/>
  <c r="CZ82" i="1"/>
  <c r="Y82" i="1" s="1"/>
  <c r="T148" i="5" s="1"/>
  <c r="J155" i="5" s="1"/>
  <c r="CY82" i="1"/>
  <c r="X82" i="1" s="1"/>
  <c r="R148" i="5" s="1"/>
  <c r="J154" i="5" s="1"/>
  <c r="AB82" i="1"/>
  <c r="AB81" i="1"/>
  <c r="CX62" i="3"/>
  <c r="CX63" i="3"/>
  <c r="CQ86" i="1"/>
  <c r="P86" i="1" s="1"/>
  <c r="CP86" i="1" s="1"/>
  <c r="O86" i="1" s="1"/>
  <c r="J177" i="5" s="1"/>
  <c r="AB85" i="1"/>
  <c r="CQ85" i="1"/>
  <c r="P85" i="1" s="1"/>
  <c r="CP85" i="1" s="1"/>
  <c r="O85" i="1" s="1"/>
  <c r="J176" i="5" s="1"/>
  <c r="CZ79" i="1"/>
  <c r="Y79" i="1" s="1"/>
  <c r="CY79" i="1"/>
  <c r="X79" i="1" s="1"/>
  <c r="R136" i="5" s="1"/>
  <c r="CS84" i="1"/>
  <c r="CQ84" i="1"/>
  <c r="P84" i="1" s="1"/>
  <c r="CX54" i="3"/>
  <c r="CX56" i="3"/>
  <c r="CX58" i="3"/>
  <c r="CX55" i="3"/>
  <c r="CX57" i="3"/>
  <c r="CS83" i="1"/>
  <c r="CQ83" i="1"/>
  <c r="P83" i="1" s="1"/>
  <c r="CX46" i="3"/>
  <c r="CX48" i="3"/>
  <c r="CX50" i="3"/>
  <c r="CX52" i="3"/>
  <c r="CX45" i="3"/>
  <c r="CX47" i="3"/>
  <c r="CX49" i="3"/>
  <c r="CX51" i="3"/>
  <c r="CX53" i="3"/>
  <c r="CS82" i="1"/>
  <c r="CQ82" i="1"/>
  <c r="P82" i="1" s="1"/>
  <c r="CX38" i="3"/>
  <c r="CX40" i="3"/>
  <c r="CX42" i="3"/>
  <c r="CX44" i="3"/>
  <c r="CX37" i="3"/>
  <c r="CX39" i="3"/>
  <c r="CX41" i="3"/>
  <c r="CX43" i="3"/>
  <c r="CS81" i="1"/>
  <c r="CQ81" i="1"/>
  <c r="P81" i="1" s="1"/>
  <c r="CS79" i="1"/>
  <c r="CQ79" i="1"/>
  <c r="P79" i="1" s="1"/>
  <c r="CY38" i="1"/>
  <c r="X38" i="1" s="1"/>
  <c r="CZ38" i="1"/>
  <c r="Y38" i="1" s="1"/>
  <c r="T98" i="5" s="1"/>
  <c r="CY37" i="1"/>
  <c r="X37" i="1" s="1"/>
  <c r="CZ37" i="1"/>
  <c r="Y37" i="1" s="1"/>
  <c r="T97" i="5" s="1"/>
  <c r="CY36" i="1"/>
  <c r="X36" i="1" s="1"/>
  <c r="CZ36" i="1"/>
  <c r="Y36" i="1" s="1"/>
  <c r="T92" i="5" s="1"/>
  <c r="CP35" i="1"/>
  <c r="O35" i="1" s="1"/>
  <c r="CX30" i="3"/>
  <c r="CX32" i="3"/>
  <c r="CX31" i="3"/>
  <c r="CZ35" i="1"/>
  <c r="Y35" i="1" s="1"/>
  <c r="T81" i="5" s="1"/>
  <c r="J88" i="5" s="1"/>
  <c r="CY35" i="1"/>
  <c r="X35" i="1" s="1"/>
  <c r="R81" i="5" s="1"/>
  <c r="J87" i="5" s="1"/>
  <c r="CZ34" i="1"/>
  <c r="Y34" i="1" s="1"/>
  <c r="T70" i="5" s="1"/>
  <c r="J77" i="5" s="1"/>
  <c r="CY34" i="1"/>
  <c r="X34" i="1" s="1"/>
  <c r="R70" i="5" s="1"/>
  <c r="J76" i="5" s="1"/>
  <c r="CX16" i="3"/>
  <c r="CX18" i="3"/>
  <c r="CX20" i="3"/>
  <c r="CX22" i="3"/>
  <c r="CX24" i="3"/>
  <c r="CX17" i="3"/>
  <c r="CX19" i="3"/>
  <c r="CX21" i="3"/>
  <c r="CX23" i="3"/>
  <c r="CS34" i="1"/>
  <c r="CQ34" i="1"/>
  <c r="P34" i="1" s="1"/>
  <c r="CX8" i="3"/>
  <c r="CX10" i="3"/>
  <c r="CX12" i="3"/>
  <c r="CX14" i="3"/>
  <c r="CX9" i="3"/>
  <c r="CX11" i="3"/>
  <c r="CX13" i="3"/>
  <c r="CX15" i="3"/>
  <c r="CQ32" i="1"/>
  <c r="CY28" i="1"/>
  <c r="X28" i="1" s="1"/>
  <c r="R33" i="5" s="1"/>
  <c r="J38" i="5" s="1"/>
  <c r="CZ28" i="1"/>
  <c r="Y28" i="1" s="1"/>
  <c r="T33" i="5" s="1"/>
  <c r="J39" i="5" s="1"/>
  <c r="BB40" i="1"/>
  <c r="AX40" i="1"/>
  <c r="AT40" i="1"/>
  <c r="AP40" i="1"/>
  <c r="V32" i="1"/>
  <c r="AD32" i="1"/>
  <c r="AB32" i="1" s="1"/>
  <c r="CS32" i="1"/>
  <c r="V62" i="5" s="1"/>
  <c r="I32" i="1"/>
  <c r="CX2" i="3"/>
  <c r="CX1" i="3"/>
  <c r="CX3" i="3"/>
  <c r="F23" i="6" l="1"/>
  <c r="AX88" i="1"/>
  <c r="AT88" i="1"/>
  <c r="CP29" i="1"/>
  <c r="O29" i="1" s="1"/>
  <c r="T174" i="1"/>
  <c r="CP346" i="1"/>
  <c r="O346" i="1" s="1"/>
  <c r="V80" i="1"/>
  <c r="AI88" i="1" s="1"/>
  <c r="AI74" i="1" s="1"/>
  <c r="Q211" i="5"/>
  <c r="W80" i="1"/>
  <c r="AJ88" i="1" s="1"/>
  <c r="AJ74" i="1" s="1"/>
  <c r="F39" i="6"/>
  <c r="AH353" i="1"/>
  <c r="AH341" i="1" s="1"/>
  <c r="I422" i="5"/>
  <c r="P422" i="5" s="1"/>
  <c r="V305" i="1"/>
  <c r="F366" i="1"/>
  <c r="V174" i="1"/>
  <c r="AI181" i="1" s="1"/>
  <c r="R256" i="1"/>
  <c r="GK256" i="1" s="1"/>
  <c r="AG260" i="1"/>
  <c r="AF88" i="1"/>
  <c r="AF74" i="1" s="1"/>
  <c r="M16" i="7"/>
  <c r="CP124" i="1"/>
  <c r="O124" i="1" s="1"/>
  <c r="CY132" i="1"/>
  <c r="X132" i="1" s="1"/>
  <c r="R237" i="5" s="1"/>
  <c r="J243" i="5" s="1"/>
  <c r="GM37" i="1"/>
  <c r="F443" i="1"/>
  <c r="Q127" i="1"/>
  <c r="J212" i="5" s="1"/>
  <c r="I214" i="5" s="1"/>
  <c r="P214" i="5" s="1"/>
  <c r="K500" i="5"/>
  <c r="AD260" i="1"/>
  <c r="Q260" i="1" s="1"/>
  <c r="AT181" i="1"/>
  <c r="AT458" i="1" s="1"/>
  <c r="CP348" i="1"/>
  <c r="O348" i="1" s="1"/>
  <c r="U141" i="5"/>
  <c r="Q141" i="5"/>
  <c r="U80" i="1"/>
  <c r="AH88" i="1" s="1"/>
  <c r="AH74" i="1" s="1"/>
  <c r="CZ132" i="1"/>
  <c r="Y132" i="1" s="1"/>
  <c r="T237" i="5" s="1"/>
  <c r="J244" i="5" s="1"/>
  <c r="CZ29" i="1"/>
  <c r="Y29" i="1" s="1"/>
  <c r="T43" i="5" s="1"/>
  <c r="J47" i="5" s="1"/>
  <c r="AP88" i="1"/>
  <c r="AP74" i="1" s="1"/>
  <c r="V141" i="5"/>
  <c r="S141" i="5"/>
  <c r="CP176" i="1"/>
  <c r="O176" i="1" s="1"/>
  <c r="CY29" i="1"/>
  <c r="X29" i="1" s="1"/>
  <c r="R43" i="5" s="1"/>
  <c r="J46" i="5" s="1"/>
  <c r="R80" i="1"/>
  <c r="J143" i="5" s="1"/>
  <c r="S80" i="1"/>
  <c r="CP173" i="1"/>
  <c r="O173" i="1" s="1"/>
  <c r="R16" i="7"/>
  <c r="U211" i="5"/>
  <c r="U432" i="5"/>
  <c r="S175" i="1"/>
  <c r="U463" i="5"/>
  <c r="U301" i="1"/>
  <c r="P415" i="5"/>
  <c r="K415" i="5"/>
  <c r="P490" i="5"/>
  <c r="K490" i="5"/>
  <c r="CP83" i="1"/>
  <c r="O83" i="1" s="1"/>
  <c r="J164" i="5"/>
  <c r="D25" i="8"/>
  <c r="D25" i="9"/>
  <c r="E62" i="5"/>
  <c r="C63" i="5"/>
  <c r="P32" i="1"/>
  <c r="R83" i="1"/>
  <c r="V159" i="5"/>
  <c r="J167" i="5" s="1"/>
  <c r="R85" i="1"/>
  <c r="GK85" i="1" s="1"/>
  <c r="GP85" i="1" s="1"/>
  <c r="V176" i="5"/>
  <c r="R179" i="1"/>
  <c r="GK179" i="1" s="1"/>
  <c r="V322" i="5"/>
  <c r="R299" i="1"/>
  <c r="J426" i="5" s="1"/>
  <c r="V423" i="5"/>
  <c r="R304" i="1"/>
  <c r="V457" i="5"/>
  <c r="R343" i="1"/>
  <c r="V477" i="5"/>
  <c r="R346" i="1"/>
  <c r="J499" i="5" s="1"/>
  <c r="V497" i="5"/>
  <c r="F406" i="1"/>
  <c r="T477" i="5"/>
  <c r="J481" i="5" s="1"/>
  <c r="CY299" i="1"/>
  <c r="X299" i="1" s="1"/>
  <c r="R423" i="5" s="1"/>
  <c r="I49" i="5"/>
  <c r="CZ77" i="1"/>
  <c r="Y77" i="1" s="1"/>
  <c r="T122" i="5" s="1"/>
  <c r="J126" i="5" s="1"/>
  <c r="J124" i="5"/>
  <c r="CY77" i="1"/>
  <c r="X77" i="1" s="1"/>
  <c r="R122" i="5" s="1"/>
  <c r="J125" i="5" s="1"/>
  <c r="E16" i="6"/>
  <c r="V211" i="5"/>
  <c r="S211" i="5"/>
  <c r="CZ172" i="1"/>
  <c r="Y172" i="1" s="1"/>
  <c r="T276" i="5" s="1"/>
  <c r="J280" i="5" s="1"/>
  <c r="J278" i="5"/>
  <c r="CY172" i="1"/>
  <c r="X172" i="1" s="1"/>
  <c r="R276" i="5" s="1"/>
  <c r="J279" i="5" s="1"/>
  <c r="R35" i="1"/>
  <c r="V81" i="5"/>
  <c r="J89" i="5" s="1"/>
  <c r="I91" i="5" s="1"/>
  <c r="GK350" i="1"/>
  <c r="GP350" i="1" s="1"/>
  <c r="J516" i="5"/>
  <c r="CP171" i="1"/>
  <c r="O171" i="1" s="1"/>
  <c r="CX132" i="3"/>
  <c r="D68" i="8"/>
  <c r="D68" i="9"/>
  <c r="E428" i="5"/>
  <c r="Q80" i="1"/>
  <c r="CP80" i="1" s="1"/>
  <c r="O80" i="1" s="1"/>
  <c r="V301" i="1"/>
  <c r="AI307" i="1" s="1"/>
  <c r="W301" i="1"/>
  <c r="CP351" i="1"/>
  <c r="O351" i="1" s="1"/>
  <c r="GP38" i="1"/>
  <c r="R98" i="5"/>
  <c r="AK388" i="1"/>
  <c r="R538" i="5"/>
  <c r="J544" i="5" s="1"/>
  <c r="E33" i="6"/>
  <c r="D43" i="9"/>
  <c r="D43" i="8"/>
  <c r="E215" i="5"/>
  <c r="R298" i="1"/>
  <c r="GK298" i="1" s="1"/>
  <c r="V416" i="5"/>
  <c r="CZ31" i="1"/>
  <c r="Y31" i="1" s="1"/>
  <c r="T57" i="5" s="1"/>
  <c r="CY31" i="1"/>
  <c r="X31" i="1" s="1"/>
  <c r="R57" i="5" s="1"/>
  <c r="D39" i="6"/>
  <c r="R127" i="1"/>
  <c r="J213" i="5" s="1"/>
  <c r="S127" i="1"/>
  <c r="AO26" i="1"/>
  <c r="F44" i="1"/>
  <c r="I60" i="7"/>
  <c r="D66" i="6" s="1"/>
  <c r="E463" i="5"/>
  <c r="S301" i="1"/>
  <c r="AH426" i="1"/>
  <c r="K565" i="5"/>
  <c r="S463" i="5"/>
  <c r="CY85" i="1"/>
  <c r="X85" i="1" s="1"/>
  <c r="R176" i="5" s="1"/>
  <c r="CZ85" i="1"/>
  <c r="Y85" i="1" s="1"/>
  <c r="T176" i="5" s="1"/>
  <c r="GX301" i="1"/>
  <c r="I62" i="7"/>
  <c r="D77" i="6" s="1"/>
  <c r="E510" i="5"/>
  <c r="GX349" i="1"/>
  <c r="CJ353" i="1" s="1"/>
  <c r="CJ341" i="1" s="1"/>
  <c r="R131" i="1"/>
  <c r="V226" i="5"/>
  <c r="J234" i="5" s="1"/>
  <c r="R297" i="1"/>
  <c r="GK297" i="1" s="1"/>
  <c r="V409" i="5"/>
  <c r="CP34" i="1"/>
  <c r="O34" i="1" s="1"/>
  <c r="J75" i="5"/>
  <c r="I80" i="5" s="1"/>
  <c r="R34" i="1"/>
  <c r="V70" i="5"/>
  <c r="J78" i="5" s="1"/>
  <c r="J100" i="5"/>
  <c r="CP81" i="1"/>
  <c r="O81" i="1" s="1"/>
  <c r="J145" i="5"/>
  <c r="I147" i="5" s="1"/>
  <c r="R86" i="1"/>
  <c r="GK86" i="1" s="1"/>
  <c r="V177" i="5"/>
  <c r="P128" i="1"/>
  <c r="CP178" i="1"/>
  <c r="O178" i="1" s="1"/>
  <c r="J317" i="5"/>
  <c r="I321" i="5" s="1"/>
  <c r="R301" i="1"/>
  <c r="GK301" i="1" s="1"/>
  <c r="V432" i="5"/>
  <c r="R305" i="1"/>
  <c r="GK305" i="1" s="1"/>
  <c r="V463" i="5"/>
  <c r="CP299" i="1"/>
  <c r="O299" i="1" s="1"/>
  <c r="GP299" i="1" s="1"/>
  <c r="R344" i="1"/>
  <c r="GK344" i="1" s="1"/>
  <c r="GM344" i="1" s="1"/>
  <c r="V484" i="5"/>
  <c r="AD353" i="1"/>
  <c r="CP350" i="1"/>
  <c r="O350" i="1" s="1"/>
  <c r="I42" i="5"/>
  <c r="CY78" i="1"/>
  <c r="X78" i="1" s="1"/>
  <c r="R129" i="5" s="1"/>
  <c r="J132" i="5" s="1"/>
  <c r="J131" i="5"/>
  <c r="CZ78" i="1"/>
  <c r="Y78" i="1" s="1"/>
  <c r="T129" i="5" s="1"/>
  <c r="J133" i="5" s="1"/>
  <c r="BC122" i="1"/>
  <c r="F150" i="1"/>
  <c r="T127" i="1"/>
  <c r="R14" i="7"/>
  <c r="E84" i="6"/>
  <c r="GK76" i="1"/>
  <c r="J116" i="5"/>
  <c r="K431" i="5"/>
  <c r="P431" i="5"/>
  <c r="Q301" i="1"/>
  <c r="CP301" i="1" s="1"/>
  <c r="O301" i="1" s="1"/>
  <c r="BB253" i="1"/>
  <c r="F273" i="1"/>
  <c r="Q432" i="5"/>
  <c r="Q305" i="1"/>
  <c r="BC422" i="1"/>
  <c r="F442" i="1"/>
  <c r="V127" i="1"/>
  <c r="V349" i="1"/>
  <c r="AI353" i="1" s="1"/>
  <c r="K509" i="5"/>
  <c r="CP179" i="1"/>
  <c r="O179" i="1" s="1"/>
  <c r="J325" i="5"/>
  <c r="I329" i="5" s="1"/>
  <c r="I496" i="5"/>
  <c r="K427" i="5"/>
  <c r="P427" i="5"/>
  <c r="R79" i="1"/>
  <c r="V136" i="5"/>
  <c r="R92" i="5"/>
  <c r="R81" i="1"/>
  <c r="GK81" i="1" s="1"/>
  <c r="V145" i="5"/>
  <c r="V215" i="5"/>
  <c r="R178" i="1"/>
  <c r="GK178" i="1" s="1"/>
  <c r="V314" i="5"/>
  <c r="J432" i="5"/>
  <c r="I434" i="5" s="1"/>
  <c r="CP345" i="1"/>
  <c r="O345" i="1" s="1"/>
  <c r="U288" i="5"/>
  <c r="AO122" i="1"/>
  <c r="F138" i="1"/>
  <c r="Q288" i="5"/>
  <c r="K140" i="5"/>
  <c r="T14" i="7"/>
  <c r="V428" i="5"/>
  <c r="R300" i="1"/>
  <c r="J430" i="5" s="1"/>
  <c r="I533" i="5"/>
  <c r="CP349" i="1"/>
  <c r="O349" i="1" s="1"/>
  <c r="J510" i="5"/>
  <c r="I511" i="5" s="1"/>
  <c r="P511" i="5" s="1"/>
  <c r="W305" i="1"/>
  <c r="R176" i="1"/>
  <c r="V295" i="5"/>
  <c r="J303" i="5" s="1"/>
  <c r="P300" i="1"/>
  <c r="CP300" i="1" s="1"/>
  <c r="O300" i="1" s="1"/>
  <c r="J179" i="5"/>
  <c r="CZ76" i="1"/>
  <c r="Y76" i="1" s="1"/>
  <c r="T112" i="5" s="1"/>
  <c r="J118" i="5" s="1"/>
  <c r="J114" i="5"/>
  <c r="CY76" i="1"/>
  <c r="X76" i="1" s="1"/>
  <c r="R112" i="5" s="1"/>
  <c r="J117" i="5" s="1"/>
  <c r="E68" i="6"/>
  <c r="GM38" i="1"/>
  <c r="R399" i="5"/>
  <c r="J404" i="5" s="1"/>
  <c r="R302" i="1"/>
  <c r="V435" i="5"/>
  <c r="J443" i="5" s="1"/>
  <c r="CP302" i="1"/>
  <c r="O302" i="1" s="1"/>
  <c r="J440" i="5"/>
  <c r="I445" i="5" s="1"/>
  <c r="R345" i="1"/>
  <c r="V491" i="5"/>
  <c r="J495" i="5" s="1"/>
  <c r="R348" i="1"/>
  <c r="J508" i="5" s="1"/>
  <c r="V505" i="5"/>
  <c r="D42" i="9"/>
  <c r="D42" i="8"/>
  <c r="E211" i="5"/>
  <c r="K214" i="5"/>
  <c r="P127" i="1"/>
  <c r="CP127" i="1" s="1"/>
  <c r="O127" i="1" s="1"/>
  <c r="CX36" i="3"/>
  <c r="D34" i="9"/>
  <c r="D34" i="8"/>
  <c r="E141" i="5"/>
  <c r="D23" i="6"/>
  <c r="CZ173" i="1"/>
  <c r="Y173" i="1" s="1"/>
  <c r="T283" i="5" s="1"/>
  <c r="CY173" i="1"/>
  <c r="X173" i="1" s="1"/>
  <c r="I52" i="7"/>
  <c r="D68" i="6" s="1"/>
  <c r="C433" i="5"/>
  <c r="E432" i="5"/>
  <c r="T80" i="1"/>
  <c r="AG88" i="1" s="1"/>
  <c r="E77" i="6"/>
  <c r="I204" i="5"/>
  <c r="CZ175" i="1"/>
  <c r="Y175" i="1" s="1"/>
  <c r="T292" i="5" s="1"/>
  <c r="CY175" i="1"/>
  <c r="X175" i="1" s="1"/>
  <c r="R292" i="5" s="1"/>
  <c r="T305" i="1"/>
  <c r="GX80" i="1"/>
  <c r="CJ88" i="1" s="1"/>
  <c r="CJ74" i="1" s="1"/>
  <c r="GX175" i="1"/>
  <c r="I30" i="7"/>
  <c r="D40" i="6" s="1"/>
  <c r="E292" i="5"/>
  <c r="C293" i="5"/>
  <c r="R175" i="1"/>
  <c r="GK175" i="1" s="1"/>
  <c r="GX300" i="1"/>
  <c r="CJ307" i="1" s="1"/>
  <c r="CJ294" i="1" s="1"/>
  <c r="GK351" i="1"/>
  <c r="J527" i="5"/>
  <c r="GX305" i="1"/>
  <c r="T175" i="1"/>
  <c r="AG181" i="1" s="1"/>
  <c r="R84" i="1"/>
  <c r="V170" i="5"/>
  <c r="R174" i="1"/>
  <c r="V288" i="5"/>
  <c r="R177" i="1"/>
  <c r="GK177" i="1" s="1"/>
  <c r="V306" i="5"/>
  <c r="CP175" i="1"/>
  <c r="O175" i="1" s="1"/>
  <c r="J292" i="5"/>
  <c r="I294" i="5" s="1"/>
  <c r="T30" i="7"/>
  <c r="AP294" i="1"/>
  <c r="F316" i="1"/>
  <c r="Q32" i="1"/>
  <c r="J64" i="5" s="1"/>
  <c r="I66" i="5" s="1"/>
  <c r="P66" i="5" s="1"/>
  <c r="GP37" i="1"/>
  <c r="R97" i="5"/>
  <c r="R82" i="1"/>
  <c r="V148" i="5"/>
  <c r="J156" i="5" s="1"/>
  <c r="CY81" i="1"/>
  <c r="X81" i="1" s="1"/>
  <c r="R145" i="5" s="1"/>
  <c r="CP132" i="1"/>
  <c r="O132" i="1" s="1"/>
  <c r="J242" i="5"/>
  <c r="D52" i="9"/>
  <c r="D52" i="8"/>
  <c r="E288" i="5"/>
  <c r="R296" i="1"/>
  <c r="J403" i="5" s="1"/>
  <c r="V399" i="5"/>
  <c r="J406" i="5" s="1"/>
  <c r="T399" i="5"/>
  <c r="J405" i="5" s="1"/>
  <c r="CP303" i="1"/>
  <c r="O303" i="1" s="1"/>
  <c r="J451" i="5"/>
  <c r="I456" i="5" s="1"/>
  <c r="R424" i="1"/>
  <c r="J561" i="5" s="1"/>
  <c r="V557" i="5"/>
  <c r="J564" i="5" s="1"/>
  <c r="CZ350" i="1"/>
  <c r="Y350" i="1" s="1"/>
  <c r="T512" i="5" s="1"/>
  <c r="J519" i="5" s="1"/>
  <c r="AD307" i="1"/>
  <c r="AL388" i="1"/>
  <c r="T538" i="5"/>
  <c r="J545" i="5" s="1"/>
  <c r="AK426" i="1"/>
  <c r="R557" i="5"/>
  <c r="J562" i="5" s="1"/>
  <c r="I566" i="5" s="1"/>
  <c r="AI260" i="1"/>
  <c r="AI253" i="1" s="1"/>
  <c r="AF260" i="1"/>
  <c r="CZ30" i="1"/>
  <c r="Y30" i="1" s="1"/>
  <c r="T50" i="5" s="1"/>
  <c r="J54" i="5" s="1"/>
  <c r="J52" i="5"/>
  <c r="CY30" i="1"/>
  <c r="X30" i="1" s="1"/>
  <c r="R50" i="5" s="1"/>
  <c r="J53" i="5" s="1"/>
  <c r="W127" i="1"/>
  <c r="GK28" i="1"/>
  <c r="J37" i="5"/>
  <c r="CZ170" i="1"/>
  <c r="Y170" i="1" s="1"/>
  <c r="T256" i="5" s="1"/>
  <c r="J262" i="5" s="1"/>
  <c r="J258" i="5"/>
  <c r="CY170" i="1"/>
  <c r="X170" i="1" s="1"/>
  <c r="R256" i="5" s="1"/>
  <c r="J261" i="5" s="1"/>
  <c r="E24" i="6"/>
  <c r="O16" i="7"/>
  <c r="F24" i="6" s="1"/>
  <c r="E25" i="6" s="1"/>
  <c r="M14" i="7"/>
  <c r="E40" i="6"/>
  <c r="O30" i="7"/>
  <c r="F40" i="6" s="1"/>
  <c r="E41" i="6" s="1"/>
  <c r="Q62" i="5"/>
  <c r="J101" i="5"/>
  <c r="I197" i="5"/>
  <c r="BZ74" i="1"/>
  <c r="AQ88" i="1"/>
  <c r="CI88" i="1"/>
  <c r="AG307" i="1"/>
  <c r="R124" i="1"/>
  <c r="GK124" i="1" s="1"/>
  <c r="GM124" i="1" s="1"/>
  <c r="V191" i="5"/>
  <c r="AO168" i="1"/>
  <c r="F185" i="1"/>
  <c r="CP77" i="1"/>
  <c r="O77" i="1" s="1"/>
  <c r="BZ26" i="1"/>
  <c r="CI40" i="1"/>
  <c r="AQ40" i="1"/>
  <c r="BC168" i="1"/>
  <c r="F197" i="1"/>
  <c r="K287" i="5"/>
  <c r="U305" i="1"/>
  <c r="K61" i="5"/>
  <c r="P61" i="5"/>
  <c r="CP31" i="1"/>
  <c r="O31" i="1" s="1"/>
  <c r="CP82" i="1"/>
  <c r="O82" i="1" s="1"/>
  <c r="J153" i="5"/>
  <c r="I158" i="5" s="1"/>
  <c r="T136" i="5"/>
  <c r="CP84" i="1"/>
  <c r="O84" i="1" s="1"/>
  <c r="J175" i="5"/>
  <c r="J178" i="5"/>
  <c r="CP131" i="1"/>
  <c r="O131" i="1" s="1"/>
  <c r="J231" i="5"/>
  <c r="I236" i="5" s="1"/>
  <c r="R132" i="1"/>
  <c r="V237" i="5"/>
  <c r="J245" i="5" s="1"/>
  <c r="CP177" i="1"/>
  <c r="O177" i="1" s="1"/>
  <c r="J309" i="5"/>
  <c r="I313" i="5" s="1"/>
  <c r="R303" i="1"/>
  <c r="V446" i="5"/>
  <c r="J454" i="5" s="1"/>
  <c r="CP304" i="1"/>
  <c r="O304" i="1" s="1"/>
  <c r="J462" i="5"/>
  <c r="AK353" i="1"/>
  <c r="X353" i="1" s="1"/>
  <c r="R477" i="5"/>
  <c r="J480" i="5" s="1"/>
  <c r="I483" i="5" s="1"/>
  <c r="CY350" i="1"/>
  <c r="X350" i="1" s="1"/>
  <c r="R512" i="5" s="1"/>
  <c r="J518" i="5" s="1"/>
  <c r="AL426" i="1"/>
  <c r="T557" i="5"/>
  <c r="J563" i="5" s="1"/>
  <c r="AH260" i="1"/>
  <c r="Q215" i="5"/>
  <c r="BC74" i="1"/>
  <c r="F104" i="1"/>
  <c r="CZ171" i="1"/>
  <c r="Y171" i="1" s="1"/>
  <c r="T266" i="5" s="1"/>
  <c r="J272" i="5" s="1"/>
  <c r="J268" i="5"/>
  <c r="CY171" i="1"/>
  <c r="X171" i="1" s="1"/>
  <c r="R266" i="5" s="1"/>
  <c r="J271" i="5" s="1"/>
  <c r="U62" i="5"/>
  <c r="O14" i="7"/>
  <c r="F15" i="6" s="1"/>
  <c r="E15" i="6"/>
  <c r="K210" i="5"/>
  <c r="P210" i="5"/>
  <c r="M30" i="7"/>
  <c r="S62" i="5"/>
  <c r="GK126" i="1"/>
  <c r="J208" i="5"/>
  <c r="GK36" i="1"/>
  <c r="GM36" i="1" s="1"/>
  <c r="J95" i="5"/>
  <c r="CP76" i="1"/>
  <c r="O76" i="1" s="1"/>
  <c r="R30" i="7"/>
  <c r="J297" i="5"/>
  <c r="CY176" i="1"/>
  <c r="X176" i="1" s="1"/>
  <c r="CZ176" i="1"/>
  <c r="Y176" i="1" s="1"/>
  <c r="T295" i="5" s="1"/>
  <c r="J302" i="5" s="1"/>
  <c r="S305" i="1"/>
  <c r="CP305" i="1" s="1"/>
  <c r="O305" i="1" s="1"/>
  <c r="U215" i="5"/>
  <c r="CZ300" i="1"/>
  <c r="Y300" i="1" s="1"/>
  <c r="T428" i="5" s="1"/>
  <c r="CY300" i="1"/>
  <c r="X300" i="1" s="1"/>
  <c r="R428" i="5" s="1"/>
  <c r="E66" i="6"/>
  <c r="U127" i="1"/>
  <c r="K422" i="5"/>
  <c r="BB384" i="1"/>
  <c r="F401" i="1"/>
  <c r="U300" i="1"/>
  <c r="AH307" i="1" s="1"/>
  <c r="AT253" i="1"/>
  <c r="F278" i="1"/>
  <c r="GM258" i="1"/>
  <c r="GP258" i="1"/>
  <c r="CC253" i="1"/>
  <c r="BA260" i="1"/>
  <c r="F280" i="1" s="1"/>
  <c r="AC260" i="1"/>
  <c r="CE260" i="1" s="1"/>
  <c r="CI260" i="1"/>
  <c r="CI253" i="1" s="1"/>
  <c r="AL260" i="1"/>
  <c r="Y260" i="1" s="1"/>
  <c r="T377" i="5"/>
  <c r="J387" i="5" s="1"/>
  <c r="AP260" i="1"/>
  <c r="CP257" i="1"/>
  <c r="O257" i="1" s="1"/>
  <c r="J384" i="5" s="1"/>
  <c r="J386" i="5"/>
  <c r="GM256" i="1"/>
  <c r="GP256" i="1"/>
  <c r="AE260" i="1"/>
  <c r="AE253" i="1" s="1"/>
  <c r="J388" i="5"/>
  <c r="M50" i="7"/>
  <c r="T50" i="7"/>
  <c r="R50" i="7"/>
  <c r="D55" i="6"/>
  <c r="O50" i="7"/>
  <c r="F55" i="6" s="1"/>
  <c r="E58" i="6" s="1"/>
  <c r="I370" i="5"/>
  <c r="I372" i="5" s="1"/>
  <c r="AI168" i="1"/>
  <c r="V181" i="1"/>
  <c r="CX7" i="3"/>
  <c r="GX32" i="1"/>
  <c r="I33" i="1"/>
  <c r="R32" i="1"/>
  <c r="J65" i="5" s="1"/>
  <c r="T32" i="1"/>
  <c r="AP26" i="1"/>
  <c r="F49" i="1"/>
  <c r="AP458" i="1"/>
  <c r="AX26" i="1"/>
  <c r="F47" i="1"/>
  <c r="BB26" i="1"/>
  <c r="F53" i="1"/>
  <c r="BB458" i="1"/>
  <c r="GM30" i="1"/>
  <c r="GP30" i="1"/>
  <c r="U32" i="1"/>
  <c r="W32" i="1"/>
  <c r="CP79" i="1"/>
  <c r="O79" i="1" s="1"/>
  <c r="AC88" i="1"/>
  <c r="CX64" i="3"/>
  <c r="CX65" i="3"/>
  <c r="GX128" i="1"/>
  <c r="I129" i="1"/>
  <c r="R128" i="1"/>
  <c r="J217" i="5" s="1"/>
  <c r="AP122" i="1"/>
  <c r="F143" i="1"/>
  <c r="BB122" i="1"/>
  <c r="F147" i="1"/>
  <c r="V128" i="1"/>
  <c r="U128" i="1"/>
  <c r="AT74" i="1"/>
  <c r="F106" i="1"/>
  <c r="W128" i="1"/>
  <c r="CI122" i="1"/>
  <c r="AZ134" i="1"/>
  <c r="AQ122" i="1"/>
  <c r="F144" i="1"/>
  <c r="CX89" i="3"/>
  <c r="U174" i="1"/>
  <c r="AH181" i="1" s="1"/>
  <c r="GX174" i="1"/>
  <c r="CJ181" i="1" s="1"/>
  <c r="P174" i="1"/>
  <c r="AO458" i="1"/>
  <c r="BC458" i="1"/>
  <c r="AQ253" i="1"/>
  <c r="F270" i="1"/>
  <c r="CG253" i="1"/>
  <c r="AX260" i="1"/>
  <c r="GK296" i="1"/>
  <c r="S174" i="1"/>
  <c r="AL253" i="1"/>
  <c r="AK260" i="1"/>
  <c r="AJ253" i="1"/>
  <c r="W260" i="1"/>
  <c r="AG253" i="1"/>
  <c r="T260" i="1"/>
  <c r="F269" i="1"/>
  <c r="AP253" i="1"/>
  <c r="CG168" i="1"/>
  <c r="AX181" i="1"/>
  <c r="CH260" i="1"/>
  <c r="AO294" i="1"/>
  <c r="F311" i="1"/>
  <c r="BC294" i="1"/>
  <c r="F323" i="1"/>
  <c r="CI294" i="1"/>
  <c r="AZ307" i="1"/>
  <c r="CP343" i="1"/>
  <c r="O343" i="1" s="1"/>
  <c r="AC353" i="1"/>
  <c r="GP346" i="1"/>
  <c r="GM346" i="1"/>
  <c r="GP348" i="1"/>
  <c r="GM348" i="1"/>
  <c r="AO341" i="1"/>
  <c r="F357" i="1"/>
  <c r="BC341" i="1"/>
  <c r="F369" i="1"/>
  <c r="AQ384" i="1"/>
  <c r="F398" i="1"/>
  <c r="BA384" i="1"/>
  <c r="F408" i="1"/>
  <c r="CG384" i="1"/>
  <c r="AX388" i="1"/>
  <c r="AT422" i="1"/>
  <c r="F444" i="1"/>
  <c r="AZ422" i="1"/>
  <c r="F437" i="1"/>
  <c r="AF341" i="1"/>
  <c r="S353" i="1"/>
  <c r="AJ341" i="1"/>
  <c r="W353" i="1"/>
  <c r="AZ353" i="1"/>
  <c r="CI341" i="1"/>
  <c r="AP341" i="1"/>
  <c r="F362" i="1"/>
  <c r="AD294" i="1"/>
  <c r="Q307" i="1"/>
  <c r="AL384" i="1"/>
  <c r="Y388" i="1"/>
  <c r="AK384" i="1"/>
  <c r="X388" i="1"/>
  <c r="F397" i="1"/>
  <c r="AP384" i="1"/>
  <c r="AK422" i="1"/>
  <c r="X426" i="1"/>
  <c r="F450" i="1"/>
  <c r="W422" i="1"/>
  <c r="F446" i="1"/>
  <c r="BA422" i="1"/>
  <c r="AC384" i="1"/>
  <c r="P388" i="1"/>
  <c r="CF388" i="1"/>
  <c r="CH388" i="1"/>
  <c r="CE388" i="1"/>
  <c r="V422" i="1"/>
  <c r="F449" i="1"/>
  <c r="GP28" i="1"/>
  <c r="GM28" i="1"/>
  <c r="AT26" i="1"/>
  <c r="F58" i="1"/>
  <c r="GP29" i="1"/>
  <c r="GM29" i="1"/>
  <c r="S32" i="1"/>
  <c r="S88" i="1"/>
  <c r="GP86" i="1"/>
  <c r="GM86" i="1"/>
  <c r="AX74" i="1"/>
  <c r="F95" i="1"/>
  <c r="BB74" i="1"/>
  <c r="F101" i="1"/>
  <c r="F152" i="1"/>
  <c r="AT122" i="1"/>
  <c r="T128" i="1"/>
  <c r="Q128" i="1"/>
  <c r="J216" i="5" s="1"/>
  <c r="I218" i="5" s="1"/>
  <c r="P218" i="5" s="1"/>
  <c r="GP126" i="1"/>
  <c r="GM126" i="1"/>
  <c r="S128" i="1"/>
  <c r="CG122" i="1"/>
  <c r="AX134" i="1"/>
  <c r="GM179" i="1"/>
  <c r="GP179" i="1"/>
  <c r="AP168" i="1"/>
  <c r="F190" i="1"/>
  <c r="BB168" i="1"/>
  <c r="F194" i="1"/>
  <c r="AO253" i="1"/>
  <c r="F264" i="1"/>
  <c r="AS253" i="1"/>
  <c r="F277" i="1"/>
  <c r="BC253" i="1"/>
  <c r="F276" i="1"/>
  <c r="CP296" i="1"/>
  <c r="O296" i="1" s="1"/>
  <c r="AC307" i="1"/>
  <c r="GM297" i="1"/>
  <c r="GP297" i="1"/>
  <c r="GP298" i="1"/>
  <c r="GM298" i="1"/>
  <c r="Q174" i="1"/>
  <c r="W174" i="1"/>
  <c r="AJ181" i="1" s="1"/>
  <c r="AF253" i="1"/>
  <c r="S260" i="1"/>
  <c r="AH253" i="1"/>
  <c r="U260" i="1"/>
  <c r="AD253" i="1"/>
  <c r="CI168" i="1"/>
  <c r="AZ181" i="1"/>
  <c r="AQ168" i="1"/>
  <c r="F191" i="1"/>
  <c r="GP255" i="1"/>
  <c r="AB260" i="1"/>
  <c r="GM255" i="1"/>
  <c r="GP257" i="1"/>
  <c r="GM257" i="1"/>
  <c r="AQ294" i="1"/>
  <c r="F317" i="1"/>
  <c r="CG294" i="1"/>
  <c r="AX307" i="1"/>
  <c r="GK343" i="1"/>
  <c r="AQ341" i="1"/>
  <c r="F363" i="1"/>
  <c r="AX353" i="1"/>
  <c r="CG341" i="1"/>
  <c r="AO384" i="1"/>
  <c r="F392" i="1"/>
  <c r="AS384" i="1"/>
  <c r="F405" i="1"/>
  <c r="BC384" i="1"/>
  <c r="F404" i="1"/>
  <c r="CP424" i="1"/>
  <c r="O424" i="1" s="1"/>
  <c r="AC426" i="1"/>
  <c r="AP422" i="1"/>
  <c r="F435" i="1"/>
  <c r="AX422" i="1"/>
  <c r="F433" i="1"/>
  <c r="BB422" i="1"/>
  <c r="F439" i="1"/>
  <c r="AE384" i="1"/>
  <c r="R388" i="1"/>
  <c r="F411" i="1"/>
  <c r="V384" i="1"/>
  <c r="T422" i="1"/>
  <c r="F447" i="1"/>
  <c r="Q422" i="1"/>
  <c r="F438" i="1"/>
  <c r="T353" i="1"/>
  <c r="AG341" i="1"/>
  <c r="AD341" i="1"/>
  <c r="Q353" i="1"/>
  <c r="GM347" i="1"/>
  <c r="GP347" i="1"/>
  <c r="AF384" i="1"/>
  <c r="S388" i="1"/>
  <c r="U384" i="1"/>
  <c r="F410" i="1"/>
  <c r="W384" i="1"/>
  <c r="F412" i="1"/>
  <c r="Q384" i="1"/>
  <c r="F400" i="1"/>
  <c r="F409" i="1"/>
  <c r="T384" i="1"/>
  <c r="CI384" i="1"/>
  <c r="AZ388" i="1"/>
  <c r="AF422" i="1"/>
  <c r="S426" i="1"/>
  <c r="AL422" i="1"/>
  <c r="Y426" i="1"/>
  <c r="GP386" i="1"/>
  <c r="CD388" i="1" s="1"/>
  <c r="AB388" i="1"/>
  <c r="GM386" i="1"/>
  <c r="CA388" i="1" s="1"/>
  <c r="U88" i="1" l="1"/>
  <c r="AQ458" i="1"/>
  <c r="GM85" i="1"/>
  <c r="W88" i="1"/>
  <c r="W74" i="1" s="1"/>
  <c r="V88" i="1"/>
  <c r="V74" i="1" s="1"/>
  <c r="AT168" i="1"/>
  <c r="GM31" i="1"/>
  <c r="J180" i="5"/>
  <c r="I182" i="5" s="1"/>
  <c r="K182" i="5" s="1"/>
  <c r="M62" i="7"/>
  <c r="I128" i="5"/>
  <c r="F199" i="1"/>
  <c r="I247" i="5"/>
  <c r="P247" i="5" s="1"/>
  <c r="GM350" i="1"/>
  <c r="BA307" i="1"/>
  <c r="F97" i="1"/>
  <c r="I548" i="5"/>
  <c r="O62" i="7"/>
  <c r="F77" i="6" s="1"/>
  <c r="E78" i="6" s="1"/>
  <c r="CZ80" i="1"/>
  <c r="Y80" i="1" s="1"/>
  <c r="T141" i="5" s="1"/>
  <c r="CY80" i="1"/>
  <c r="X80" i="1" s="1"/>
  <c r="R141" i="5" s="1"/>
  <c r="V260" i="1"/>
  <c r="F283" i="1" s="1"/>
  <c r="GM81" i="1"/>
  <c r="I169" i="5"/>
  <c r="P169" i="5" s="1"/>
  <c r="GM299" i="1"/>
  <c r="GP124" i="1"/>
  <c r="M52" i="7"/>
  <c r="I408" i="5"/>
  <c r="K408" i="5" s="1"/>
  <c r="R52" i="7"/>
  <c r="U353" i="1"/>
  <c r="I522" i="5"/>
  <c r="GM177" i="1"/>
  <c r="T62" i="7"/>
  <c r="GP178" i="1"/>
  <c r="K511" i="5"/>
  <c r="K66" i="5"/>
  <c r="V353" i="1"/>
  <c r="AI341" i="1"/>
  <c r="J463" i="5"/>
  <c r="P522" i="5"/>
  <c r="K522" i="5"/>
  <c r="GP80" i="1"/>
  <c r="K566" i="5"/>
  <c r="P566" i="5"/>
  <c r="I568" i="5" s="1"/>
  <c r="P456" i="5"/>
  <c r="K456" i="5"/>
  <c r="P445" i="5"/>
  <c r="K445" i="5"/>
  <c r="T181" i="1"/>
  <c r="AG168" i="1"/>
  <c r="P236" i="5"/>
  <c r="K236" i="5"/>
  <c r="AG74" i="1"/>
  <c r="T88" i="1"/>
  <c r="K158" i="5"/>
  <c r="P158" i="5"/>
  <c r="P548" i="5"/>
  <c r="I550" i="5" s="1"/>
  <c r="K548" i="5"/>
  <c r="V307" i="1"/>
  <c r="AI294" i="1"/>
  <c r="BA353" i="1"/>
  <c r="BA341" i="1" s="1"/>
  <c r="BA253" i="1"/>
  <c r="GM178" i="1"/>
  <c r="CI26" i="1"/>
  <c r="AZ40" i="1"/>
  <c r="CI74" i="1"/>
  <c r="AZ88" i="1"/>
  <c r="K434" i="5"/>
  <c r="P434" i="5"/>
  <c r="J99" i="5"/>
  <c r="I103" i="5" s="1"/>
  <c r="K329" i="5"/>
  <c r="P329" i="5"/>
  <c r="U426" i="1"/>
  <c r="AH422" i="1"/>
  <c r="P49" i="5"/>
  <c r="K49" i="5"/>
  <c r="GK176" i="1"/>
  <c r="J299" i="5"/>
  <c r="J142" i="5"/>
  <c r="I144" i="5" s="1"/>
  <c r="AD88" i="1"/>
  <c r="GP177" i="1"/>
  <c r="GN81" i="1"/>
  <c r="CB88" i="1" s="1"/>
  <c r="AS88" i="1" s="1"/>
  <c r="AQ74" i="1"/>
  <c r="F98" i="1"/>
  <c r="AE181" i="1"/>
  <c r="J290" i="5"/>
  <c r="R283" i="5"/>
  <c r="GP173" i="1"/>
  <c r="GM173" i="1"/>
  <c r="I121" i="5"/>
  <c r="GN349" i="1"/>
  <c r="CB353" i="1" s="1"/>
  <c r="GM349" i="1"/>
  <c r="GP36" i="1"/>
  <c r="I135" i="5"/>
  <c r="T60" i="7"/>
  <c r="GK132" i="1"/>
  <c r="J241" i="5"/>
  <c r="P496" i="5"/>
  <c r="K496" i="5"/>
  <c r="I8" i="7"/>
  <c r="C68" i="5"/>
  <c r="E67" i="5"/>
  <c r="U67" i="5"/>
  <c r="S67" i="5"/>
  <c r="Q67" i="5"/>
  <c r="V67" i="5"/>
  <c r="AD181" i="1"/>
  <c r="AD168" i="1" s="1"/>
  <c r="J289" i="5"/>
  <c r="I291" i="5" s="1"/>
  <c r="AE353" i="1"/>
  <c r="AE426" i="1"/>
  <c r="D44" i="8"/>
  <c r="D44" i="9"/>
  <c r="E219" i="5"/>
  <c r="C220" i="5"/>
  <c r="S219" i="5"/>
  <c r="Q219" i="5"/>
  <c r="V219" i="5"/>
  <c r="U219" i="5"/>
  <c r="GP31" i="1"/>
  <c r="O60" i="7"/>
  <c r="F66" i="6" s="1"/>
  <c r="R295" i="5"/>
  <c r="J301" i="5" s="1"/>
  <c r="I305" i="5" s="1"/>
  <c r="GM176" i="1"/>
  <c r="GP176" i="1"/>
  <c r="GK303" i="1"/>
  <c r="J450" i="5"/>
  <c r="GM77" i="1"/>
  <c r="GP77" i="1"/>
  <c r="P204" i="5"/>
  <c r="K204" i="5"/>
  <c r="GP172" i="1"/>
  <c r="GP171" i="1"/>
  <c r="P147" i="5"/>
  <c r="K147" i="5"/>
  <c r="AF307" i="1"/>
  <c r="CY301" i="1"/>
  <c r="X301" i="1" s="1"/>
  <c r="CZ301" i="1"/>
  <c r="Y301" i="1" s="1"/>
  <c r="T432" i="5" s="1"/>
  <c r="CY127" i="1"/>
  <c r="X127" i="1" s="1"/>
  <c r="R211" i="5" s="1"/>
  <c r="CZ127" i="1"/>
  <c r="Y127" i="1" s="1"/>
  <c r="T211" i="5" s="1"/>
  <c r="K218" i="5"/>
  <c r="P128" i="5"/>
  <c r="K128" i="5"/>
  <c r="BA88" i="1"/>
  <c r="BA74" i="1" s="1"/>
  <c r="AG294" i="1"/>
  <c r="T307" i="1"/>
  <c r="I282" i="5"/>
  <c r="GK424" i="1"/>
  <c r="GP170" i="1"/>
  <c r="GM172" i="1"/>
  <c r="I275" i="5"/>
  <c r="P313" i="5"/>
  <c r="K313" i="5"/>
  <c r="P197" i="5"/>
  <c r="K197" i="5"/>
  <c r="I56" i="5"/>
  <c r="GK84" i="1"/>
  <c r="J174" i="5"/>
  <c r="GM127" i="1"/>
  <c r="GP127" i="1"/>
  <c r="GK345" i="1"/>
  <c r="GP345" i="1" s="1"/>
  <c r="J494" i="5"/>
  <c r="AE88" i="1"/>
  <c r="J139" i="5"/>
  <c r="P42" i="5"/>
  <c r="K42" i="5"/>
  <c r="T52" i="7"/>
  <c r="J466" i="5"/>
  <c r="GP78" i="1"/>
  <c r="P80" i="5"/>
  <c r="K80" i="5"/>
  <c r="GK34" i="1"/>
  <c r="J74" i="5"/>
  <c r="CY305" i="1"/>
  <c r="X305" i="1" s="1"/>
  <c r="R463" i="5" s="1"/>
  <c r="J464" i="5" s="1"/>
  <c r="CZ305" i="1"/>
  <c r="Y305" i="1" s="1"/>
  <c r="T463" i="5" s="1"/>
  <c r="J465" i="5" s="1"/>
  <c r="GP344" i="1"/>
  <c r="GM170" i="1"/>
  <c r="AE307" i="1"/>
  <c r="AE294" i="1" s="1"/>
  <c r="K294" i="5"/>
  <c r="P294" i="5"/>
  <c r="M60" i="7"/>
  <c r="GP300" i="1"/>
  <c r="GM300" i="1"/>
  <c r="P533" i="5"/>
  <c r="K533" i="5"/>
  <c r="R62" i="7"/>
  <c r="GP351" i="1"/>
  <c r="GM351" i="1"/>
  <c r="R60" i="7"/>
  <c r="GK35" i="1"/>
  <c r="J85" i="5"/>
  <c r="GK304" i="1"/>
  <c r="J461" i="5"/>
  <c r="GK83" i="1"/>
  <c r="GP83" i="1" s="1"/>
  <c r="J163" i="5"/>
  <c r="GM78" i="1"/>
  <c r="AQ26" i="1"/>
  <c r="F50" i="1"/>
  <c r="GK302" i="1"/>
  <c r="J439" i="5"/>
  <c r="AK341" i="1"/>
  <c r="AH294" i="1"/>
  <c r="U307" i="1"/>
  <c r="GM76" i="1"/>
  <c r="GP76" i="1"/>
  <c r="P483" i="5"/>
  <c r="K483" i="5"/>
  <c r="AL88" i="1"/>
  <c r="I265" i="5"/>
  <c r="GK82" i="1"/>
  <c r="GP82" i="1" s="1"/>
  <c r="J152" i="5"/>
  <c r="GM175" i="1"/>
  <c r="GN175" i="1"/>
  <c r="CB181" i="1" s="1"/>
  <c r="O52" i="7"/>
  <c r="F68" i="6" s="1"/>
  <c r="K321" i="5"/>
  <c r="P321" i="5"/>
  <c r="GK131" i="1"/>
  <c r="J230" i="5"/>
  <c r="P91" i="5"/>
  <c r="K91" i="5"/>
  <c r="AJ307" i="1"/>
  <c r="GM171" i="1"/>
  <c r="AL353" i="1"/>
  <c r="CF260" i="1"/>
  <c r="CF253" i="1" s="1"/>
  <c r="AC253" i="1"/>
  <c r="P260" i="1"/>
  <c r="F263" i="1" s="1"/>
  <c r="R260" i="1"/>
  <c r="AZ260" i="1"/>
  <c r="F271" i="1" s="1"/>
  <c r="I390" i="5"/>
  <c r="CD260" i="1"/>
  <c r="CD253" i="1" s="1"/>
  <c r="I373" i="5"/>
  <c r="I374" i="5" s="1"/>
  <c r="AB384" i="1"/>
  <c r="O388" i="1"/>
  <c r="S422" i="1"/>
  <c r="F441" i="1"/>
  <c r="F399" i="1"/>
  <c r="AZ384" i="1"/>
  <c r="Q341" i="1"/>
  <c r="F365" i="1"/>
  <c r="BA294" i="1"/>
  <c r="F327" i="1"/>
  <c r="R384" i="1"/>
  <c r="F402" i="1"/>
  <c r="CA260" i="1"/>
  <c r="AZ168" i="1"/>
  <c r="F192" i="1"/>
  <c r="Q253" i="1"/>
  <c r="F272" i="1"/>
  <c r="U253" i="1"/>
  <c r="F282" i="1"/>
  <c r="AJ168" i="1"/>
  <c r="W181" i="1"/>
  <c r="GM296" i="1"/>
  <c r="GP296" i="1"/>
  <c r="AB307" i="1"/>
  <c r="CA384" i="1"/>
  <c r="AR388" i="1"/>
  <c r="CD384" i="1"/>
  <c r="AU388" i="1"/>
  <c r="T341" i="1"/>
  <c r="F374" i="1"/>
  <c r="X341" i="1"/>
  <c r="F378" i="1"/>
  <c r="GM424" i="1"/>
  <c r="CA426" i="1" s="1"/>
  <c r="GP424" i="1"/>
  <c r="CD426" i="1" s="1"/>
  <c r="AB426" i="1"/>
  <c r="AX341" i="1"/>
  <c r="F360" i="1"/>
  <c r="AB253" i="1"/>
  <c r="O260" i="1"/>
  <c r="AC294" i="1"/>
  <c r="P307" i="1"/>
  <c r="CF307" i="1"/>
  <c r="CH307" i="1"/>
  <c r="CE307" i="1"/>
  <c r="AX122" i="1"/>
  <c r="F141" i="1"/>
  <c r="CZ128" i="1"/>
  <c r="Y128" i="1" s="1"/>
  <c r="T215" i="5" s="1"/>
  <c r="CY128" i="1"/>
  <c r="X128" i="1" s="1"/>
  <c r="R215" i="5" s="1"/>
  <c r="CP128" i="1"/>
  <c r="O128" i="1" s="1"/>
  <c r="CY32" i="1"/>
  <c r="X32" i="1" s="1"/>
  <c r="R62" i="5" s="1"/>
  <c r="CZ32" i="1"/>
  <c r="Y32" i="1" s="1"/>
  <c r="T62" i="5" s="1"/>
  <c r="CH384" i="1"/>
  <c r="AY388" i="1"/>
  <c r="F391" i="1"/>
  <c r="P384" i="1"/>
  <c r="X422" i="1"/>
  <c r="F451" i="1"/>
  <c r="F413" i="1"/>
  <c r="X384" i="1"/>
  <c r="Y384" i="1"/>
  <c r="F414" i="1"/>
  <c r="U341" i="1"/>
  <c r="F375" i="1"/>
  <c r="Q294" i="1"/>
  <c r="F319" i="1"/>
  <c r="W341" i="1"/>
  <c r="F377" i="1"/>
  <c r="F368" i="1"/>
  <c r="S341" i="1"/>
  <c r="AE422" i="1"/>
  <c r="R426" i="1"/>
  <c r="F395" i="1"/>
  <c r="AX384" i="1"/>
  <c r="P353" i="1"/>
  <c r="CF353" i="1"/>
  <c r="CH353" i="1"/>
  <c r="AC341" i="1"/>
  <c r="CE353" i="1"/>
  <c r="AZ294" i="1"/>
  <c r="F318" i="1"/>
  <c r="R253" i="1"/>
  <c r="F274" i="1"/>
  <c r="CE253" i="1"/>
  <c r="AV260" i="1"/>
  <c r="AX168" i="1"/>
  <c r="F188" i="1"/>
  <c r="Y253" i="1"/>
  <c r="F286" i="1"/>
  <c r="AO22" i="1"/>
  <c r="AO487" i="1"/>
  <c r="F462" i="1"/>
  <c r="AZ122" i="1"/>
  <c r="F145" i="1"/>
  <c r="GP79" i="1"/>
  <c r="GM79" i="1"/>
  <c r="AB88" i="1"/>
  <c r="BB22" i="1"/>
  <c r="F471" i="1"/>
  <c r="BB487" i="1"/>
  <c r="AP22" i="1"/>
  <c r="F467" i="1"/>
  <c r="G16" i="2" s="1"/>
  <c r="G18" i="2" s="1"/>
  <c r="AP487" i="1"/>
  <c r="T168" i="1"/>
  <c r="F202" i="1"/>
  <c r="Y422" i="1"/>
  <c r="F452" i="1"/>
  <c r="S384" i="1"/>
  <c r="F403" i="1"/>
  <c r="CE426" i="1"/>
  <c r="AC422" i="1"/>
  <c r="P426" i="1"/>
  <c r="CF426" i="1"/>
  <c r="CH426" i="1"/>
  <c r="R353" i="1"/>
  <c r="AE341" i="1"/>
  <c r="AX294" i="1"/>
  <c r="F314" i="1"/>
  <c r="S253" i="1"/>
  <c r="F275" i="1"/>
  <c r="CJ168" i="1"/>
  <c r="BA181" i="1"/>
  <c r="U74" i="1"/>
  <c r="F110" i="1"/>
  <c r="S74" i="1"/>
  <c r="F103" i="1"/>
  <c r="AT22" i="1"/>
  <c r="AT487" i="1"/>
  <c r="F476" i="1"/>
  <c r="F16" i="2" s="1"/>
  <c r="F18" i="2" s="1"/>
  <c r="CE384" i="1"/>
  <c r="AV388" i="1"/>
  <c r="CF384" i="1"/>
  <c r="AW388" i="1"/>
  <c r="V341" i="1"/>
  <c r="F376" i="1"/>
  <c r="AZ341" i="1"/>
  <c r="F364" i="1"/>
  <c r="GM343" i="1"/>
  <c r="AB353" i="1"/>
  <c r="GP343" i="1"/>
  <c r="CH253" i="1"/>
  <c r="AY260" i="1"/>
  <c r="P253" i="1"/>
  <c r="F281" i="1"/>
  <c r="T253" i="1"/>
  <c r="W253" i="1"/>
  <c r="F284" i="1"/>
  <c r="AK253" i="1"/>
  <c r="X260" i="1"/>
  <c r="CY174" i="1"/>
  <c r="X174" i="1" s="1"/>
  <c r="CZ174" i="1"/>
  <c r="Y174" i="1" s="1"/>
  <c r="AF181" i="1"/>
  <c r="F267" i="1"/>
  <c r="AX253" i="1"/>
  <c r="BC22" i="1"/>
  <c r="F474" i="1"/>
  <c r="BC487" i="1"/>
  <c r="CP174" i="1"/>
  <c r="O174" i="1" s="1"/>
  <c r="AC181" i="1"/>
  <c r="AH168" i="1"/>
  <c r="U181" i="1"/>
  <c r="AQ22" i="1"/>
  <c r="AQ487" i="1"/>
  <c r="F468" i="1"/>
  <c r="CX66" i="3"/>
  <c r="CX67" i="3"/>
  <c r="I130" i="1"/>
  <c r="T129" i="1"/>
  <c r="W129" i="1"/>
  <c r="S129" i="1"/>
  <c r="GX129" i="1"/>
  <c r="R129" i="1"/>
  <c r="J222" i="5" s="1"/>
  <c r="Q129" i="1"/>
  <c r="J221" i="5" s="1"/>
  <c r="I223" i="5" s="1"/>
  <c r="P223" i="5" s="1"/>
  <c r="U129" i="1"/>
  <c r="V129" i="1"/>
  <c r="P129" i="1"/>
  <c r="F112" i="1"/>
  <c r="AC74" i="1"/>
  <c r="P88" i="1"/>
  <c r="CF88" i="1"/>
  <c r="CH88" i="1"/>
  <c r="CE88" i="1"/>
  <c r="AX458" i="1"/>
  <c r="T33" i="1"/>
  <c r="AG40" i="1" s="1"/>
  <c r="V33" i="1"/>
  <c r="AI40" i="1" s="1"/>
  <c r="P33" i="1"/>
  <c r="J67" i="5" s="1"/>
  <c r="I69" i="5" s="1"/>
  <c r="P69" i="5" s="1"/>
  <c r="Q33" i="1"/>
  <c r="AD40" i="1" s="1"/>
  <c r="GX33" i="1"/>
  <c r="CJ40" i="1" s="1"/>
  <c r="R33" i="1"/>
  <c r="GK33" i="1" s="1"/>
  <c r="W33" i="1"/>
  <c r="AJ40" i="1" s="1"/>
  <c r="S33" i="1"/>
  <c r="U33" i="1"/>
  <c r="AH40" i="1" s="1"/>
  <c r="CP32" i="1"/>
  <c r="O32" i="1" s="1"/>
  <c r="V168" i="1"/>
  <c r="F204" i="1"/>
  <c r="CB74" i="1" l="1"/>
  <c r="K169" i="5"/>
  <c r="F111" i="1"/>
  <c r="AL307" i="1"/>
  <c r="I468" i="5"/>
  <c r="K247" i="5"/>
  <c r="P408" i="5"/>
  <c r="AK88" i="1"/>
  <c r="V253" i="1"/>
  <c r="K223" i="5"/>
  <c r="F373" i="1"/>
  <c r="P182" i="5"/>
  <c r="R307" i="1"/>
  <c r="GM82" i="1"/>
  <c r="GM80" i="1"/>
  <c r="K468" i="5"/>
  <c r="P468" i="5"/>
  <c r="P305" i="5"/>
  <c r="K305" i="5"/>
  <c r="Y307" i="1"/>
  <c r="AL294" i="1"/>
  <c r="I23" i="7"/>
  <c r="E224" i="5"/>
  <c r="S224" i="5"/>
  <c r="Q224" i="5"/>
  <c r="U224" i="5"/>
  <c r="V224" i="5"/>
  <c r="I535" i="5"/>
  <c r="GP35" i="1"/>
  <c r="GM35" i="1"/>
  <c r="E69" i="6"/>
  <c r="CB341" i="1"/>
  <c r="AS353" i="1"/>
  <c r="P103" i="5"/>
  <c r="K103" i="5"/>
  <c r="GM83" i="1"/>
  <c r="R432" i="5"/>
  <c r="GN301" i="1"/>
  <c r="CB307" i="1" s="1"/>
  <c r="GM301" i="1"/>
  <c r="K291" i="5"/>
  <c r="P291" i="5"/>
  <c r="CD88" i="1"/>
  <c r="CD74" i="1" s="1"/>
  <c r="AJ294" i="1"/>
  <c r="W307" i="1"/>
  <c r="CB168" i="1"/>
  <c r="AS181" i="1"/>
  <c r="GM84" i="1"/>
  <c r="GP84" i="1"/>
  <c r="K121" i="5"/>
  <c r="P121" i="5"/>
  <c r="I184" i="5" s="1"/>
  <c r="F109" i="1"/>
  <c r="T74" i="1"/>
  <c r="GM345" i="1"/>
  <c r="GM305" i="1"/>
  <c r="D16" i="6"/>
  <c r="R8" i="7"/>
  <c r="M8" i="7"/>
  <c r="O8" i="7"/>
  <c r="F16" i="6" s="1"/>
  <c r="E17" i="6" s="1"/>
  <c r="T8" i="7"/>
  <c r="Q181" i="1"/>
  <c r="F193" i="1" s="1"/>
  <c r="GM34" i="1"/>
  <c r="GP34" i="1"/>
  <c r="P56" i="5"/>
  <c r="K56" i="5"/>
  <c r="AK307" i="1"/>
  <c r="GP305" i="1"/>
  <c r="AL74" i="1"/>
  <c r="Y88" i="1"/>
  <c r="GP302" i="1"/>
  <c r="GM302" i="1"/>
  <c r="AE168" i="1"/>
  <c r="R181" i="1"/>
  <c r="AL181" i="1"/>
  <c r="AL168" i="1" s="1"/>
  <c r="T288" i="5"/>
  <c r="AW260" i="1"/>
  <c r="F329" i="1"/>
  <c r="U294" i="1"/>
  <c r="AE74" i="1"/>
  <c r="R88" i="1"/>
  <c r="GM132" i="1"/>
  <c r="GP132" i="1"/>
  <c r="AZ74" i="1"/>
  <c r="F99" i="1"/>
  <c r="V294" i="1"/>
  <c r="F330" i="1"/>
  <c r="AL341" i="1"/>
  <c r="Y353" i="1"/>
  <c r="K275" i="5"/>
  <c r="P275" i="5"/>
  <c r="AK181" i="1"/>
  <c r="AK168" i="1" s="1"/>
  <c r="R288" i="5"/>
  <c r="CA353" i="1"/>
  <c r="F108" i="1"/>
  <c r="K282" i="5"/>
  <c r="P282" i="5"/>
  <c r="GP303" i="1"/>
  <c r="GM303" i="1"/>
  <c r="CA307" i="1" s="1"/>
  <c r="K69" i="5"/>
  <c r="AD74" i="1"/>
  <c r="Q88" i="1"/>
  <c r="GP304" i="1"/>
  <c r="GM304" i="1"/>
  <c r="AF294" i="1"/>
  <c r="S307" i="1"/>
  <c r="CD353" i="1"/>
  <c r="CD341" i="1" s="1"/>
  <c r="GM131" i="1"/>
  <c r="GP131" i="1"/>
  <c r="K265" i="5"/>
  <c r="P265" i="5"/>
  <c r="T294" i="1"/>
  <c r="F328" i="1"/>
  <c r="P135" i="5"/>
  <c r="K135" i="5"/>
  <c r="P144" i="5"/>
  <c r="K144" i="5"/>
  <c r="U422" i="1"/>
  <c r="F448" i="1"/>
  <c r="AZ26" i="1"/>
  <c r="F51" i="1"/>
  <c r="I470" i="5"/>
  <c r="AU260" i="1"/>
  <c r="AU253" i="1" s="1"/>
  <c r="AZ253" i="1"/>
  <c r="AZ458" i="1"/>
  <c r="P390" i="5"/>
  <c r="K390" i="5"/>
  <c r="AH26" i="1"/>
  <c r="U40" i="1"/>
  <c r="CJ26" i="1"/>
  <c r="BA40" i="1"/>
  <c r="GM32" i="1"/>
  <c r="GP32" i="1"/>
  <c r="AD26" i="1"/>
  <c r="Q40" i="1"/>
  <c r="AG26" i="1"/>
  <c r="T40" i="1"/>
  <c r="CP33" i="1"/>
  <c r="O33" i="1" s="1"/>
  <c r="AB40" i="1" s="1"/>
  <c r="AC40" i="1"/>
  <c r="AX22" i="1"/>
  <c r="F465" i="1"/>
  <c r="AX487" i="1"/>
  <c r="CE74" i="1"/>
  <c r="AV88" i="1"/>
  <c r="CF74" i="1"/>
  <c r="AW88" i="1"/>
  <c r="GX130" i="1"/>
  <c r="CJ134" i="1" s="1"/>
  <c r="S130" i="1"/>
  <c r="U130" i="1"/>
  <c r="AH134" i="1" s="1"/>
  <c r="V130" i="1"/>
  <c r="AI134" i="1" s="1"/>
  <c r="W130" i="1"/>
  <c r="AJ134" i="1" s="1"/>
  <c r="Q130" i="1"/>
  <c r="AD134" i="1" s="1"/>
  <c r="T130" i="1"/>
  <c r="AG134" i="1" s="1"/>
  <c r="R130" i="1"/>
  <c r="GK130" i="1" s="1"/>
  <c r="P130" i="1"/>
  <c r="J224" i="5" s="1"/>
  <c r="I225" i="5" s="1"/>
  <c r="P225" i="5" s="1"/>
  <c r="I249" i="5" s="1"/>
  <c r="AQ18" i="1"/>
  <c r="F497" i="1"/>
  <c r="U168" i="1"/>
  <c r="F203" i="1"/>
  <c r="AC168" i="1"/>
  <c r="CE181" i="1"/>
  <c r="P181" i="1"/>
  <c r="CF181" i="1"/>
  <c r="CH181" i="1"/>
  <c r="BC18" i="1"/>
  <c r="F503" i="1"/>
  <c r="F285" i="1"/>
  <c r="X253" i="1"/>
  <c r="AB341" i="1"/>
  <c r="O353" i="1"/>
  <c r="AW384" i="1"/>
  <c r="F394" i="1"/>
  <c r="F393" i="1"/>
  <c r="AV384" i="1"/>
  <c r="AT18" i="1"/>
  <c r="F505" i="1"/>
  <c r="I22" i="5" s="1"/>
  <c r="R341" i="1"/>
  <c r="F367" i="1"/>
  <c r="CF422" i="1"/>
  <c r="AW426" i="1"/>
  <c r="AP18" i="1"/>
  <c r="F496" i="1"/>
  <c r="I23" i="5" s="1"/>
  <c r="AO18" i="1"/>
  <c r="F491" i="1"/>
  <c r="CF341" i="1"/>
  <c r="AW353" i="1"/>
  <c r="R422" i="1"/>
  <c r="F440" i="1"/>
  <c r="AY384" i="1"/>
  <c r="F396" i="1"/>
  <c r="CE294" i="1"/>
  <c r="AV307" i="1"/>
  <c r="CF294" i="1"/>
  <c r="AW307" i="1"/>
  <c r="CD422" i="1"/>
  <c r="AU426" i="1"/>
  <c r="AU384" i="1"/>
  <c r="F407" i="1"/>
  <c r="F415" i="1"/>
  <c r="F416" i="1" s="1"/>
  <c r="I552" i="5" s="1"/>
  <c r="AR384" i="1"/>
  <c r="AB294" i="1"/>
  <c r="O307" i="1"/>
  <c r="O384" i="1"/>
  <c r="F390" i="1"/>
  <c r="CZ33" i="1"/>
  <c r="Y33" i="1" s="1"/>
  <c r="CY33" i="1"/>
  <c r="X33" i="1" s="1"/>
  <c r="R67" i="5" s="1"/>
  <c r="AI26" i="1"/>
  <c r="V40" i="1"/>
  <c r="AJ26" i="1"/>
  <c r="W40" i="1"/>
  <c r="CH74" i="1"/>
  <c r="AY88" i="1"/>
  <c r="P74" i="1"/>
  <c r="F91" i="1"/>
  <c r="AS74" i="1"/>
  <c r="F105" i="1"/>
  <c r="CP129" i="1"/>
  <c r="O129" i="1" s="1"/>
  <c r="AC134" i="1"/>
  <c r="CY129" i="1"/>
  <c r="X129" i="1" s="1"/>
  <c r="R219" i="5" s="1"/>
  <c r="CZ129" i="1"/>
  <c r="Y129" i="1" s="1"/>
  <c r="T219" i="5" s="1"/>
  <c r="GM174" i="1"/>
  <c r="CA181" i="1" s="1"/>
  <c r="GP174" i="1"/>
  <c r="CD181" i="1" s="1"/>
  <c r="AB181" i="1"/>
  <c r="R294" i="1"/>
  <c r="F321" i="1"/>
  <c r="AF168" i="1"/>
  <c r="S181" i="1"/>
  <c r="X181" i="1"/>
  <c r="AY253" i="1"/>
  <c r="F268" i="1"/>
  <c r="AR353" i="1"/>
  <c r="CA341" i="1"/>
  <c r="BA168" i="1"/>
  <c r="F201" i="1"/>
  <c r="CH422" i="1"/>
  <c r="AY426" i="1"/>
  <c r="P422" i="1"/>
  <c r="F429" i="1"/>
  <c r="CE422" i="1"/>
  <c r="AV426" i="1"/>
  <c r="AE40" i="1"/>
  <c r="BB18" i="1"/>
  <c r="F500" i="1"/>
  <c r="AB74" i="1"/>
  <c r="O88" i="1"/>
  <c r="AW253" i="1"/>
  <c r="F266" i="1"/>
  <c r="F265" i="1"/>
  <c r="AV253" i="1"/>
  <c r="AV353" i="1"/>
  <c r="CE341" i="1"/>
  <c r="CH341" i="1"/>
  <c r="AY353" i="1"/>
  <c r="P341" i="1"/>
  <c r="F356" i="1"/>
  <c r="AZ22" i="1"/>
  <c r="F469" i="1"/>
  <c r="AZ487" i="1"/>
  <c r="AF40" i="1"/>
  <c r="GP128" i="1"/>
  <c r="GM128" i="1"/>
  <c r="AF134" i="1"/>
  <c r="CH294" i="1"/>
  <c r="AY307" i="1"/>
  <c r="P294" i="1"/>
  <c r="F310" i="1"/>
  <c r="O253" i="1"/>
  <c r="F262" i="1"/>
  <c r="AB422" i="1"/>
  <c r="O426" i="1"/>
  <c r="CA422" i="1"/>
  <c r="AR426" i="1"/>
  <c r="W168" i="1"/>
  <c r="F205" i="1"/>
  <c r="CA253" i="1"/>
  <c r="AR260" i="1"/>
  <c r="CA88" i="1" l="1"/>
  <c r="CA74" i="1" s="1"/>
  <c r="AR307" i="1"/>
  <c r="CA294" i="1"/>
  <c r="Y181" i="1"/>
  <c r="I105" i="5"/>
  <c r="X88" i="1"/>
  <c r="AK74" i="1"/>
  <c r="F279" i="1"/>
  <c r="AU88" i="1"/>
  <c r="AU74" i="1" s="1"/>
  <c r="CD307" i="1"/>
  <c r="CD294" i="1" s="1"/>
  <c r="AU307" i="1"/>
  <c r="F114" i="1"/>
  <c r="Y74" i="1"/>
  <c r="S294" i="1"/>
  <c r="F322" i="1"/>
  <c r="W294" i="1"/>
  <c r="F331" i="1"/>
  <c r="D33" i="6"/>
  <c r="T23" i="7"/>
  <c r="R23" i="7"/>
  <c r="O23" i="7"/>
  <c r="F33" i="6" s="1"/>
  <c r="E34" i="6" s="1"/>
  <c r="M23" i="7"/>
  <c r="CD40" i="1"/>
  <c r="CD26" i="1" s="1"/>
  <c r="X307" i="1"/>
  <c r="AK294" i="1"/>
  <c r="Y294" i="1"/>
  <c r="F333" i="1"/>
  <c r="AL40" i="1"/>
  <c r="T67" i="5"/>
  <c r="I331" i="5"/>
  <c r="Y341" i="1"/>
  <c r="F379" i="1"/>
  <c r="R168" i="1"/>
  <c r="F195" i="1"/>
  <c r="F370" i="1"/>
  <c r="AS341" i="1"/>
  <c r="Q168" i="1"/>
  <c r="AK40" i="1"/>
  <c r="AK26" i="1" s="1"/>
  <c r="F102" i="1"/>
  <c r="R74" i="1"/>
  <c r="AR88" i="1"/>
  <c r="AR74" i="1" s="1"/>
  <c r="F100" i="1"/>
  <c r="Q74" i="1"/>
  <c r="AU353" i="1"/>
  <c r="AS168" i="1"/>
  <c r="F198" i="1"/>
  <c r="CB294" i="1"/>
  <c r="AS307" i="1"/>
  <c r="K225" i="5"/>
  <c r="I392" i="5"/>
  <c r="I574" i="5"/>
  <c r="Q134" i="1"/>
  <c r="AD122" i="1"/>
  <c r="AI122" i="1"/>
  <c r="V134" i="1"/>
  <c r="AB26" i="1"/>
  <c r="O40" i="1"/>
  <c r="AL26" i="1"/>
  <c r="Y40" i="1"/>
  <c r="BA134" i="1"/>
  <c r="CJ122" i="1"/>
  <c r="F287" i="1"/>
  <c r="F288" i="1" s="1"/>
  <c r="I394" i="5" s="1"/>
  <c r="AR253" i="1"/>
  <c r="AU294" i="1"/>
  <c r="F326" i="1"/>
  <c r="F428" i="1"/>
  <c r="O422" i="1"/>
  <c r="AZ18" i="1"/>
  <c r="F498" i="1"/>
  <c r="AV422" i="1"/>
  <c r="F431" i="1"/>
  <c r="F434" i="1"/>
  <c r="AY422" i="1"/>
  <c r="F372" i="1"/>
  <c r="AU341" i="1"/>
  <c r="X168" i="1"/>
  <c r="F206" i="1"/>
  <c r="S168" i="1"/>
  <c r="F196" i="1"/>
  <c r="CA168" i="1"/>
  <c r="AR181" i="1"/>
  <c r="F417" i="1"/>
  <c r="I553" i="5" s="1"/>
  <c r="S134" i="1"/>
  <c r="AF122" i="1"/>
  <c r="AF26" i="1"/>
  <c r="S40" i="1"/>
  <c r="AY341" i="1"/>
  <c r="F361" i="1"/>
  <c r="O74" i="1"/>
  <c r="F90" i="1"/>
  <c r="AE26" i="1"/>
  <c r="R40" i="1"/>
  <c r="AR341" i="1"/>
  <c r="F380" i="1"/>
  <c r="CD168" i="1"/>
  <c r="AU181" i="1"/>
  <c r="AC122" i="1"/>
  <c r="CE134" i="1"/>
  <c r="P134" i="1"/>
  <c r="CF134" i="1"/>
  <c r="CH134" i="1"/>
  <c r="AY74" i="1"/>
  <c r="F96" i="1"/>
  <c r="W26" i="1"/>
  <c r="F64" i="1"/>
  <c r="V26" i="1"/>
  <c r="F63" i="1"/>
  <c r="V458" i="1"/>
  <c r="AR294" i="1"/>
  <c r="F334" i="1"/>
  <c r="F335" i="1" s="1"/>
  <c r="I472" i="5" s="1"/>
  <c r="O294" i="1"/>
  <c r="F309" i="1"/>
  <c r="AU422" i="1"/>
  <c r="F445" i="1"/>
  <c r="AW294" i="1"/>
  <c r="F313" i="1"/>
  <c r="AV294" i="1"/>
  <c r="F312" i="1"/>
  <c r="CF168" i="1"/>
  <c r="AW181" i="1"/>
  <c r="CE168" i="1"/>
  <c r="AV181" i="1"/>
  <c r="CP130" i="1"/>
  <c r="O130" i="1" s="1"/>
  <c r="AC26" i="1"/>
  <c r="P40" i="1"/>
  <c r="CF40" i="1"/>
  <c r="CH40" i="1"/>
  <c r="CE40" i="1"/>
  <c r="T26" i="1"/>
  <c r="F61" i="1"/>
  <c r="Q26" i="1"/>
  <c r="F52" i="1"/>
  <c r="Q458" i="1"/>
  <c r="AE134" i="1"/>
  <c r="AR422" i="1"/>
  <c r="F453" i="1"/>
  <c r="F454" i="1" s="1"/>
  <c r="I570" i="5" s="1"/>
  <c r="AY294" i="1"/>
  <c r="F315" i="1"/>
  <c r="AV341" i="1"/>
  <c r="F358" i="1"/>
  <c r="AB168" i="1"/>
  <c r="O181" i="1"/>
  <c r="GM129" i="1"/>
  <c r="GP129" i="1"/>
  <c r="CD134" i="1" s="1"/>
  <c r="AW341" i="1"/>
  <c r="F359" i="1"/>
  <c r="F115" i="1"/>
  <c r="F116" i="1" s="1"/>
  <c r="I186" i="5" s="1"/>
  <c r="AW422" i="1"/>
  <c r="F432" i="1"/>
  <c r="O341" i="1"/>
  <c r="F355" i="1"/>
  <c r="Y168" i="1"/>
  <c r="F207" i="1"/>
  <c r="CH168" i="1"/>
  <c r="AY181" i="1"/>
  <c r="P168" i="1"/>
  <c r="F184" i="1"/>
  <c r="CZ130" i="1"/>
  <c r="Y130" i="1" s="1"/>
  <c r="CY130" i="1"/>
  <c r="X130" i="1" s="1"/>
  <c r="AW74" i="1"/>
  <c r="F94" i="1"/>
  <c r="AV74" i="1"/>
  <c r="F93" i="1"/>
  <c r="AX18" i="1"/>
  <c r="F494" i="1"/>
  <c r="GM33" i="1"/>
  <c r="CA40" i="1" s="1"/>
  <c r="GN33" i="1"/>
  <c r="CB40" i="1" s="1"/>
  <c r="W134" i="1"/>
  <c r="AJ122" i="1"/>
  <c r="BA26" i="1"/>
  <c r="F60" i="1"/>
  <c r="BA458" i="1"/>
  <c r="U26" i="1"/>
  <c r="F62" i="1"/>
  <c r="AG122" i="1"/>
  <c r="T134" i="1"/>
  <c r="U134" i="1"/>
  <c r="AH122" i="1"/>
  <c r="X74" i="1" l="1"/>
  <c r="F113" i="1"/>
  <c r="AU40" i="1"/>
  <c r="F107" i="1"/>
  <c r="F418" i="1"/>
  <c r="I554" i="5" s="1"/>
  <c r="F324" i="1"/>
  <c r="AS294" i="1"/>
  <c r="X294" i="1"/>
  <c r="F332" i="1"/>
  <c r="AK134" i="1"/>
  <c r="AK122" i="1" s="1"/>
  <c r="R224" i="5"/>
  <c r="X40" i="1"/>
  <c r="F65" i="1" s="1"/>
  <c r="AL134" i="1"/>
  <c r="Y134" i="1" s="1"/>
  <c r="Y458" i="1" s="1"/>
  <c r="T224" i="5"/>
  <c r="CA26" i="1"/>
  <c r="AR40" i="1"/>
  <c r="AU134" i="1"/>
  <c r="AU458" i="1" s="1"/>
  <c r="CD122" i="1"/>
  <c r="U122" i="1"/>
  <c r="F156" i="1"/>
  <c r="W122" i="1"/>
  <c r="F158" i="1"/>
  <c r="T122" i="1"/>
  <c r="F155" i="1"/>
  <c r="U458" i="1"/>
  <c r="AU26" i="1"/>
  <c r="F59" i="1"/>
  <c r="CB26" i="1"/>
  <c r="AS40" i="1"/>
  <c r="AY168" i="1"/>
  <c r="F189" i="1"/>
  <c r="F117" i="1"/>
  <c r="X26" i="1"/>
  <c r="O168" i="1"/>
  <c r="F183" i="1"/>
  <c r="T458" i="1"/>
  <c r="CH26" i="1"/>
  <c r="AY40" i="1"/>
  <c r="P26" i="1"/>
  <c r="F43" i="1"/>
  <c r="P458" i="1"/>
  <c r="GM130" i="1"/>
  <c r="CA134" i="1" s="1"/>
  <c r="GN130" i="1"/>
  <c r="CB134" i="1" s="1"/>
  <c r="AB134" i="1"/>
  <c r="W458" i="1"/>
  <c r="AW134" i="1"/>
  <c r="CF122" i="1"/>
  <c r="CE122" i="1"/>
  <c r="AV134" i="1"/>
  <c r="AU168" i="1"/>
  <c r="F200" i="1"/>
  <c r="R26" i="1"/>
  <c r="F54" i="1"/>
  <c r="S26" i="1"/>
  <c r="F55" i="1"/>
  <c r="S458" i="1"/>
  <c r="S122" i="1"/>
  <c r="F149" i="1"/>
  <c r="F289" i="1"/>
  <c r="BA122" i="1"/>
  <c r="F154" i="1"/>
  <c r="Q122" i="1"/>
  <c r="F146" i="1"/>
  <c r="BA22" i="1"/>
  <c r="F478" i="1"/>
  <c r="BA487" i="1"/>
  <c r="F455" i="1"/>
  <c r="I571" i="5" s="1"/>
  <c r="F456" i="1"/>
  <c r="I572" i="5" s="1"/>
  <c r="AE122" i="1"/>
  <c r="R134" i="1"/>
  <c r="R458" i="1" s="1"/>
  <c r="Q22" i="1"/>
  <c r="F470" i="1"/>
  <c r="Q487" i="1"/>
  <c r="CE26" i="1"/>
  <c r="AV40" i="1"/>
  <c r="CF26" i="1"/>
  <c r="AW40" i="1"/>
  <c r="AV168" i="1"/>
  <c r="F186" i="1"/>
  <c r="AW168" i="1"/>
  <c r="F187" i="1"/>
  <c r="F336" i="1"/>
  <c r="V22" i="1"/>
  <c r="V487" i="1"/>
  <c r="F481" i="1"/>
  <c r="AY134" i="1"/>
  <c r="CH122" i="1"/>
  <c r="P122" i="1"/>
  <c r="F137" i="1"/>
  <c r="AR168" i="1"/>
  <c r="F208" i="1"/>
  <c r="F209" i="1" s="1"/>
  <c r="I333" i="5" s="1"/>
  <c r="Y26" i="1"/>
  <c r="F66" i="1"/>
  <c r="O26" i="1"/>
  <c r="F42" i="1"/>
  <c r="V122" i="1"/>
  <c r="F157" i="1"/>
  <c r="X134" i="1" l="1"/>
  <c r="F118" i="1"/>
  <c r="I188" i="5" s="1"/>
  <c r="I187" i="5"/>
  <c r="F337" i="1"/>
  <c r="I474" i="5" s="1"/>
  <c r="I473" i="5"/>
  <c r="AL122" i="1"/>
  <c r="F290" i="1"/>
  <c r="I396" i="5" s="1"/>
  <c r="I395" i="5"/>
  <c r="R22" i="1"/>
  <c r="R487" i="1"/>
  <c r="F472" i="1"/>
  <c r="CA122" i="1"/>
  <c r="AR134" i="1"/>
  <c r="AW122" i="1"/>
  <c r="F140" i="1"/>
  <c r="T22" i="1"/>
  <c r="T487" i="1"/>
  <c r="F479" i="1"/>
  <c r="AU22" i="1"/>
  <c r="AU487" i="1"/>
  <c r="F477" i="1"/>
  <c r="H16" i="2" s="1"/>
  <c r="H18" i="2" s="1"/>
  <c r="X122" i="1"/>
  <c r="F159" i="1"/>
  <c r="Y22" i="1"/>
  <c r="Y487" i="1"/>
  <c r="F484" i="1"/>
  <c r="AY122" i="1"/>
  <c r="F142" i="1"/>
  <c r="V18" i="1"/>
  <c r="F510" i="1"/>
  <c r="AW26" i="1"/>
  <c r="F46" i="1"/>
  <c r="AW458" i="1"/>
  <c r="AV26" i="1"/>
  <c r="F45" i="1"/>
  <c r="AV458" i="1"/>
  <c r="Q18" i="1"/>
  <c r="F499" i="1"/>
  <c r="Y122" i="1"/>
  <c r="F160" i="1"/>
  <c r="S22" i="1"/>
  <c r="F473" i="1"/>
  <c r="J16" i="2" s="1"/>
  <c r="J18" i="2" s="1"/>
  <c r="S487" i="1"/>
  <c r="AV122" i="1"/>
  <c r="F139" i="1"/>
  <c r="W22" i="1"/>
  <c r="F482" i="1"/>
  <c r="W487" i="1"/>
  <c r="AS134" i="1"/>
  <c r="CB122" i="1"/>
  <c r="P22" i="1"/>
  <c r="P487" i="1"/>
  <c r="F461" i="1"/>
  <c r="X458" i="1"/>
  <c r="U22" i="1"/>
  <c r="U487" i="1"/>
  <c r="F480" i="1"/>
  <c r="AU122" i="1"/>
  <c r="F153" i="1"/>
  <c r="AR26" i="1"/>
  <c r="F67" i="1"/>
  <c r="F68" i="1" s="1"/>
  <c r="I107" i="5" s="1"/>
  <c r="F210" i="1"/>
  <c r="I334" i="5" s="1"/>
  <c r="F148" i="1"/>
  <c r="R122" i="1"/>
  <c r="BA18" i="1"/>
  <c r="F507" i="1"/>
  <c r="O134" i="1"/>
  <c r="AB122" i="1"/>
  <c r="AY26" i="1"/>
  <c r="F48" i="1"/>
  <c r="AY458" i="1"/>
  <c r="AS26" i="1"/>
  <c r="F57" i="1"/>
  <c r="F211" i="1" l="1"/>
  <c r="I335" i="5" s="1"/>
  <c r="AY22" i="1"/>
  <c r="AY487" i="1"/>
  <c r="F466" i="1"/>
  <c r="O122" i="1"/>
  <c r="F136" i="1"/>
  <c r="O458" i="1"/>
  <c r="AS122" i="1"/>
  <c r="F151" i="1"/>
  <c r="AW22" i="1"/>
  <c r="F464" i="1"/>
  <c r="AW487" i="1"/>
  <c r="Y18" i="1"/>
  <c r="F513" i="1"/>
  <c r="T18" i="1"/>
  <c r="F508" i="1"/>
  <c r="AR122" i="1"/>
  <c r="F161" i="1"/>
  <c r="F162" i="1" s="1"/>
  <c r="I251" i="5" s="1"/>
  <c r="AS458" i="1"/>
  <c r="AR458" i="1"/>
  <c r="U18" i="1"/>
  <c r="F509" i="1"/>
  <c r="X22" i="1"/>
  <c r="X487" i="1"/>
  <c r="F483" i="1"/>
  <c r="P18" i="1"/>
  <c r="F490" i="1"/>
  <c r="W18" i="1"/>
  <c r="F511" i="1"/>
  <c r="AV22" i="1"/>
  <c r="F463" i="1"/>
  <c r="AV487" i="1"/>
  <c r="AU18" i="1"/>
  <c r="F506" i="1"/>
  <c r="I24" i="5" s="1"/>
  <c r="R18" i="1"/>
  <c r="F501" i="1"/>
  <c r="F69" i="1"/>
  <c r="S18" i="1"/>
  <c r="F502" i="1"/>
  <c r="I25" i="5" s="1"/>
  <c r="F70" i="1" l="1"/>
  <c r="I109" i="5" s="1"/>
  <c r="I108" i="5"/>
  <c r="AS22" i="1"/>
  <c r="AS487" i="1"/>
  <c r="F475" i="1"/>
  <c r="E16" i="2" s="1"/>
  <c r="O22" i="1"/>
  <c r="F460" i="1"/>
  <c r="O487" i="1"/>
  <c r="AY18" i="1"/>
  <c r="F495" i="1"/>
  <c r="AV18" i="1"/>
  <c r="F492" i="1"/>
  <c r="X18" i="1"/>
  <c r="F512" i="1"/>
  <c r="AR22" i="1"/>
  <c r="F485" i="1"/>
  <c r="AR487" i="1"/>
  <c r="F163" i="1"/>
  <c r="AW18" i="1"/>
  <c r="F493" i="1"/>
  <c r="F164" i="1" l="1"/>
  <c r="I253" i="5" s="1"/>
  <c r="I252" i="5"/>
  <c r="O18" i="1"/>
  <c r="F489" i="1"/>
  <c r="AS18" i="1"/>
  <c r="F504" i="1"/>
  <c r="I21" i="5" s="1"/>
  <c r="AR18" i="1"/>
  <c r="F514" i="1"/>
  <c r="E18" i="2"/>
  <c r="I16" i="2"/>
  <c r="I18" i="2" s="1"/>
  <c r="F515" i="1" l="1"/>
  <c r="I575" i="5" s="1"/>
  <c r="I20" i="5"/>
  <c r="F516" i="1"/>
  <c r="F517" i="1" l="1"/>
  <c r="I577" i="5" s="1"/>
  <c r="I576" i="5"/>
</calcChain>
</file>

<file path=xl/sharedStrings.xml><?xml version="1.0" encoding="utf-8"?>
<sst xmlns="http://schemas.openxmlformats.org/spreadsheetml/2006/main" count="6888" uniqueCount="532">
  <si>
    <t>Smeta.RU  (495) 974-1589</t>
  </si>
  <si>
    <t>_PS_</t>
  </si>
  <si>
    <t>Smeta.RU</t>
  </si>
  <si>
    <t/>
  </si>
  <si>
    <t>1_(Копия)</t>
  </si>
  <si>
    <t>Благоустройство дворовых территорий Таганского района ЦАО г. Москвы в 2021 году (1-й этап)</t>
  </si>
  <si>
    <t>Ю.С. Леонова</t>
  </si>
  <si>
    <t>Директор</t>
  </si>
  <si>
    <t>ГБУ "Жлищник Таганского района"</t>
  </si>
  <si>
    <t>Сметные нормы списания</t>
  </si>
  <si>
    <t>Коды ОКП для СН-2012 - 2021 г.</t>
  </si>
  <si>
    <t>СН-2012 - 2021 г_глава_1-5,7</t>
  </si>
  <si>
    <t>Типовой расчет для СН-2012 - 2021 г</t>
  </si>
  <si>
    <t>СН-2012-2021 г. База данных "Сборник стоимостных нормативов"</t>
  </si>
  <si>
    <t>Поправки для СН-2012-2021 в ценах на 01.10.2020 г</t>
  </si>
  <si>
    <t>Новая локальная смета</t>
  </si>
  <si>
    <t>Выполнение работ по благоустройству дворовых территориях Таганского района в 2021 году</t>
  </si>
  <si>
    <t>Новый раздел</t>
  </si>
  <si>
    <t>Раздел 4.  А/б покрытие пешеходных тротуаров на новое основание (АТ-1) - 35 м2</t>
  </si>
  <si>
    <t>1</t>
  </si>
  <si>
    <t>2.49-3101-3-3/1</t>
  </si>
  <si>
    <t>Разработка грунта с погрузкой на автомобили-самосвалы экскаваторами с ковшом вместимостью 0,5 м3, группа грунтов 1-3</t>
  </si>
  <si>
    <t>100 м3</t>
  </si>
  <si>
    <t>СН-2012-2021.2. База. Сб.49-3101-3-3/1</t>
  </si>
  <si>
    <t>СН-2012</t>
  </si>
  <si>
    <t>Подрядные работы, гл. 1-5,7</t>
  </si>
  <si>
    <t>работа</t>
  </si>
  <si>
    <t>2</t>
  </si>
  <si>
    <t>2.49-3201-14-1/1</t>
  </si>
  <si>
    <t>Разработка грунта вручную в траншеях глубиной до 2 м без креплений с откосами, группа грунтов 1-3</t>
  </si>
  <si>
    <t>СН-2012-2021.2. База. Сб.49-3201-14-1/1</t>
  </si>
  <si>
    <t>3</t>
  </si>
  <si>
    <t>1.1-3101-6-1/1</t>
  </si>
  <si>
    <t>Погрузка грунта вручную в автомобили-самосвалы с выгрузкой</t>
  </si>
  <si>
    <t>СН-2012-2021.1. База. Сб.1-3101-6-1/1</t>
  </si>
  <si>
    <t>4</t>
  </si>
  <si>
    <t>2.49-3401-1-1/1</t>
  </si>
  <si>
    <t>Перевозка грунта автосамосвалами грузоподъемностью до 10 т на расстояние 1 км</t>
  </si>
  <si>
    <t>м3</t>
  </si>
  <si>
    <t>СН-2012-2021.2. База. Сб.49-3401-1-1/1</t>
  </si>
  <si>
    <t>Подрядные работы, гл. 1 перевозка мусора</t>
  </si>
  <si>
    <t>5</t>
  </si>
  <si>
    <t>2.49-3401-1-2/1</t>
  </si>
  <si>
    <t>Перевозка грунта автосамосвалами грузоподъемностью до 10 т - добавляется на каждый последующий 1 км до 100 км (к поз. 49-3401-1-1)</t>
  </si>
  <si>
    <t>СН-2012-2021.2. База. Сб.49-3401-1-2/1</t>
  </si>
  <si>
    <t>*54</t>
  </si>
  <si>
    <t>6</t>
  </si>
  <si>
    <t>Коммерческое предложение</t>
  </si>
  <si>
    <t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t>
  </si>
  <si>
    <t>Материалы</t>
  </si>
  <si>
    <t>Материалы, изделия и конструкции</t>
  </si>
  <si>
    <t>100,3</t>
  </si>
  <si>
    <t>7</t>
  </si>
  <si>
    <t>2.1-3303-1-1/1</t>
  </si>
  <si>
    <t>Устройство подстилающих и выравнивающих слоев оснований из песка</t>
  </si>
  <si>
    <t>СН-2012-2021.2. База. Сб.1-3303-1-1/1</t>
  </si>
  <si>
    <t>8</t>
  </si>
  <si>
    <t>2.1-3303-1-2/1</t>
  </si>
  <si>
    <t>Устройство подстилающих и выравнивающих слоев оснований из щебня</t>
  </si>
  <si>
    <t>СН-2012-2021.2. База. Сб.1-3303-1-2/1</t>
  </si>
  <si>
    <t>9</t>
  </si>
  <si>
    <t>2.1-3103-19-4/1</t>
  </si>
  <si>
    <t>Устройство асфальтобетонных покрытий дорожек и тротуаров двухслойных, верхний слой из песчаной асфальтобетонной смеси толщиной 3 см/ 5см</t>
  </si>
  <si>
    <t>100 м2</t>
  </si>
  <si>
    <t>СН-2012-2021.2. База. Сб.1-3103-19-4/1</t>
  </si>
  <si>
    <t>9,1</t>
  </si>
  <si>
    <t>21.3-3-34</t>
  </si>
  <si>
    <t>Смеси асфальтобетонные дорожные горячие песчаные, тип Д, марка III</t>
  </si>
  <si>
    <t>т</t>
  </si>
  <si>
    <t>СН-2012-2021.21. База. Р.3, о.3, поз.34</t>
  </si>
  <si>
    <t>9,2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</si>
  <si>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</si>
  <si>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</si>
  <si>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</si>
  <si>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</si>
  <si>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</si>
  <si>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</si>
  <si>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</si>
  <si>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</si>
  <si>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</si>
  <si>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</si>
  <si>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</si>
  <si>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</si>
  <si>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</si>
  <si>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</si>
  <si>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</si>
  <si>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</si>
  <si>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</si>
  <si>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</si>
  <si>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</si>
  <si>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</si>
  <si>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</si>
  <si>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</si>
  <si>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</si>
  <si>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</si>
  <si>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</si>
  <si>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</si>
  <si>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</si>
  <si>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</si>
  <si>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</si>
  <si>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</si>
  <si>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</si>
  <si>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</si>
  <si>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</si>
  <si>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</si>
  <si>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</si>
  <si>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</si>
  <si>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</si>
  <si>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</si>
  <si>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</si>
  <si>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</si>
  <si>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</si>
  <si>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</si>
  <si>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</si>
  <si>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</si>
  <si>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</si>
  <si>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</si>
  <si>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</si>
  <si>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</si>
  <si>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</si>
  <si>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</si>
  <si>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</si>
  <si>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</si>
  <si>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</si>
  <si>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 20%</t>
  </si>
  <si>
    <t>10</t>
  </si>
  <si>
    <t>11</t>
  </si>
  <si>
    <t>1.1-3303-2-1/1</t>
  </si>
  <si>
    <t>Разработка грунта вручную в траншеях глубиной до 2 м без креплений с откосами группа грунтов 1-3</t>
  </si>
  <si>
    <t>СН-2012-2021.1. База. Сб.1-3303-2-1/1</t>
  </si>
  <si>
    <t>12</t>
  </si>
  <si>
    <t>13</t>
  </si>
  <si>
    <t>14</t>
  </si>
  <si>
    <t>15</t>
  </si>
  <si>
    <t>16</t>
  </si>
  <si>
    <t>17</t>
  </si>
  <si>
    <t>18</t>
  </si>
  <si>
    <t>Устройство асфальтобетонных покрытий дорожек и тротуаров двухслойных, верхний слой из песчаной асфальтобетонной смеси толщиной 3 см</t>
  </si>
  <si>
    <t>18,1</t>
  </si>
  <si>
    <t>18,2</t>
  </si>
  <si>
    <t>19</t>
  </si>
  <si>
    <t>2.1-3204-6-1/1</t>
  </si>
  <si>
    <t>Разборка бортовых камней на бетонном основании</t>
  </si>
  <si>
    <t>100 м</t>
  </si>
  <si>
    <t>СН-2012-2021.2. База. Сб.1-3204-6-1/1</t>
  </si>
  <si>
    <t>20</t>
  </si>
  <si>
    <t>1.50-3305-4-1/1</t>
  </si>
  <si>
    <t>Погрузка и выгрузка вручную строительного мусора на транспортные средства</t>
  </si>
  <si>
    <t>СН-2012-2021.1. База. Сб.50-3305-4-1/1</t>
  </si>
  <si>
    <t>21</t>
  </si>
  <si>
    <t>1.49-9101-7-1/1</t>
  </si>
  <si>
    <t>Механизированная погрузка строительного мусора в автомобили-самосвалы</t>
  </si>
  <si>
    <t>СН-2012-2021.1. База. Сб.49-9101-7-1/1</t>
  </si>
  <si>
    <t>22</t>
  </si>
  <si>
    <t>1.49-9201-1-1/1</t>
  </si>
  <si>
    <t>Перевозка строительного мусора автосамосвалами грузоподъемностью до 10 т на расстояние 1 км - при погрузке вручную</t>
  </si>
  <si>
    <t>СН-2012-2021.1. База. Сб.49-9201-1-1/1</t>
  </si>
  <si>
    <t>23</t>
  </si>
  <si>
    <t>1.49-9201-1-2/1</t>
  </si>
  <si>
    <t>Перевозка строительного мусора автосамосвалами грузоподъемностью до 10 т на расстояние 1 км - при механизированной погрузке</t>
  </si>
  <si>
    <t>СН-2012-2021.1. База. Сб.49-9201-1-2/1</t>
  </si>
  <si>
    <t>24</t>
  </si>
  <si>
    <t>1.49-9201-1-3/1</t>
  </si>
  <si>
    <t>Перевозка строительного мусора автосамосвалами грузоподъемностью до 10 т - добавляется на каждый последующий 1 км до 100 км</t>
  </si>
  <si>
    <t>СН-2012-2021.1. База. Сб.49-9201-1-3/1</t>
  </si>
  <si>
    <t>*51</t>
  </si>
  <si>
    <t>25</t>
  </si>
  <si>
    <t>Стоимость приемки отходов строительства и сноса (боя кирпичной кладки бетонных и железобетонных изделий, отходов бетона и железобетона, асфальтобетона в кусковой форме) для переработки дробильными комплексами (Базисная стоимость: 150,61= [180,73/1,2]</t>
  </si>
  <si>
    <t>150,61</t>
  </si>
  <si>
    <t>26</t>
  </si>
  <si>
    <t>27</t>
  </si>
  <si>
    <t>2.1-3203-1-6/2</t>
  </si>
  <si>
    <t>Установка бортовых камней бетонных газонных и садовых марка БР60.20.8, при других видах покрытий</t>
  </si>
  <si>
    <t>СН-2012-2021.2. База. Сб.1-3203-1-6/2</t>
  </si>
  <si>
    <t>28</t>
  </si>
  <si>
    <t>29</t>
  </si>
  <si>
    <t>30</t>
  </si>
  <si>
    <t>31</t>
  </si>
  <si>
    <t>32</t>
  </si>
  <si>
    <t>33</t>
  </si>
  <si>
    <t>34</t>
  </si>
  <si>
    <t>5.4-3203-3-3/1</t>
  </si>
  <si>
    <t>Подготовка почвы для устройства партерного и обыкновенного газонов с внесением растительной земли слоем 15 см механизированным способом</t>
  </si>
  <si>
    <t>СН-2012-2021.5. База. Сб.4-3203-3-3/1</t>
  </si>
  <si>
    <t>35</t>
  </si>
  <si>
    <t>5.4-3203-3-4/1</t>
  </si>
  <si>
    <t>Подготовка почвы для устройства партерного и обыкновенного газонов с внесением растительной земли слоем 15 см вручную</t>
  </si>
  <si>
    <t>СН-2012-2021.5. База. Сб.4-3203-3-4/1</t>
  </si>
  <si>
    <t>36</t>
  </si>
  <si>
    <t>5.4-3203-3-5/1</t>
  </si>
  <si>
    <t>Подготовка почвы для устройства партерного и обыкновенного газонов на каждые 5 см изменения толщины слоя добавлять или исключать</t>
  </si>
  <si>
    <t>СН-2012-2021.5. База. Сб.4-3203-3-5/1</t>
  </si>
  <si>
    <t>37</t>
  </si>
  <si>
    <t>5.4-3203-3-6/1</t>
  </si>
  <si>
    <t>Посев газонов партерных, мавританских, и обыкновенных вручную</t>
  </si>
  <si>
    <t>СН-2012-2021.5. База. Сб.4-3203-3-6/1</t>
  </si>
  <si>
    <t>22.1 Посадка деревьев с комо 0,8х0,6м, высотой от 3м - 8 шт.</t>
  </si>
  <si>
    <t>38</t>
  </si>
  <si>
    <t>5.4-3103-1-20/1</t>
  </si>
  <si>
    <t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t>
  </si>
  <si>
    <t>10 ям</t>
  </si>
  <si>
    <t>СН-2012-2021.5. База. Сб.4-3103-1-20/1</t>
  </si>
  <si>
    <t>39</t>
  </si>
  <si>
    <t>5.4-3103-3-20/1</t>
  </si>
  <si>
    <t>Подготовка стандартных посадочных мест вручную, с круглым комом земли размером 0,8х0,6 м с добавлением растительной земли до 100%</t>
  </si>
  <si>
    <t>СН-2012-2021.5. База. Сб.4-3103-3-20/1</t>
  </si>
  <si>
    <t>40</t>
  </si>
  <si>
    <t>5.4-3103-6-4/1</t>
  </si>
  <si>
    <t>Посадка деревьев и кустарников с комом земли, диаметром 0,8 м и высотой 0,6 м (без стоимости деревьев и кустарников)</t>
  </si>
  <si>
    <t>10 шт.</t>
  </si>
  <si>
    <t>СН-2012-2021.5. База. Сб.4-3103-6-4/1</t>
  </si>
  <si>
    <t>40,1</t>
  </si>
  <si>
    <t>21.4-1-2</t>
  </si>
  <si>
    <t>Деревья декоративные лиственных пород с комом земли, порода: бархат амурский, вяз, дуб, каштан, клен, липа, орех, ясень, размер кома: диаметр-0,8 м, высота-0,6 м</t>
  </si>
  <si>
    <t>шт.</t>
  </si>
  <si>
    <t>СН-2012-2021.21. База. Р.4, о.1, поз.2</t>
  </si>
  <si>
    <t>41</t>
  </si>
  <si>
    <t>5.3-3103-11-1/1</t>
  </si>
  <si>
    <t>Устройство наливного полиуретанового покрытия спортивных площадок и беговых дорожек толщиной 10 мм</t>
  </si>
  <si>
    <t>СН-2012-2021.5. База. Сб.3-3103-11-1/1</t>
  </si>
  <si>
    <t>41,1</t>
  </si>
  <si>
    <t>21.1-25-255</t>
  </si>
  <si>
    <t>Пленка полиэтиленовая, толщина 0,12 - 0,15 мм</t>
  </si>
  <si>
    <t>м2</t>
  </si>
  <si>
    <t>СН-2012-2021.21. База. Р.1, о.25, поз.255</t>
  </si>
  <si>
    <t>41,2</t>
  </si>
  <si>
    <t>21.1-25-769</t>
  </si>
  <si>
    <t>Крошка резиновая гранулированная, фракция 2-3 мм</t>
  </si>
  <si>
    <t>кг</t>
  </si>
  <si>
    <t>СН-2012-2021.21. База. Р.1, о.25, поз.769</t>
  </si>
  <si>
    <t>41,3</t>
  </si>
  <si>
    <t>21.1-25-770</t>
  </si>
  <si>
    <t>Крошка каучуковая гранулированная, окрашенная в массе, фракция 2-3 мм, цвет черный</t>
  </si>
  <si>
    <t>СН-2012-2021.21. База. Р.1, о.25, поз.770</t>
  </si>
  <si>
    <t>Раздел 27.1 Устройство нового пешеходного покрытия из бетонной плитки - 60 м2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</si>
  <si>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</si>
  <si>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</si>
  <si>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</si>
  <si>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</si>
  <si>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</si>
  <si>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</si>
  <si>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</si>
  <si>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</si>
  <si>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</si>
  <si>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2.1-3103-17-1/1</t>
  </si>
  <si>
    <t>Устройство покрытий тротуаров из бетонной плитки типа "Брусчатка" рядовым или паркетным мощением</t>
  </si>
  <si>
    <t>СН-2012-2021.2. База. Сб.1-3103-17-1/1</t>
  </si>
  <si>
    <t>50,1</t>
  </si>
  <si>
    <t>21.5-1-6</t>
  </si>
  <si>
    <t>Плиты бетонные тротуарные, толщина 70 мм, цвет серый</t>
  </si>
  <si>
    <t>СН-2012-2021.21. База. Р.5, о.1, поз.6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</si>
  <si>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</si>
  <si>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</si>
  <si>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</si>
  <si>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</si>
  <si>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</si>
  <si>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</si>
  <si>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</si>
  <si>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</si>
  <si>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</si>
  <si>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Раздел. 48 Устройство покрытия из искусственной травы - 1000 м2 (Спорт. общестрой)</t>
  </si>
  <si>
    <t>60</t>
  </si>
  <si>
    <t>5.3-3103-10-1/1</t>
  </si>
  <si>
    <t>Устройство покрытия "искусственная трава"</t>
  </si>
  <si>
    <t>СН-2012-2021.5. База. Сб.3-3103-10-1/1</t>
  </si>
  <si>
    <t>Раздел 61. Демонтажные работы (Спорт. общестрой)</t>
  </si>
  <si>
    <t>61</t>
  </si>
  <si>
    <t>1.9-3104-2-1/1</t>
  </si>
  <si>
    <t>Разборка лестничных маршей на одном косоуре</t>
  </si>
  <si>
    <t>СН-2012-2021.1. База. Сб.9-3104-2-1/1</t>
  </si>
  <si>
    <t>Уровень цен на 01.10.2020 г</t>
  </si>
  <si>
    <t>_OBSM_</t>
  </si>
  <si>
    <t>9999990008</t>
  </si>
  <si>
    <t>Трудозатраты рабочих</t>
  </si>
  <si>
    <t>чел.-ч.</t>
  </si>
  <si>
    <t>22.1-1-4</t>
  </si>
  <si>
    <t>СН-2012-2021.22. База. п.1-1-4 (010105)</t>
  </si>
  <si>
    <t>Экскаваторы на гусеничном ходу гидравлические, объем ковша до 0,5 м3</t>
  </si>
  <si>
    <t>маш.-ч</t>
  </si>
  <si>
    <t>22.1-1-44</t>
  </si>
  <si>
    <t>СН-2012-2021.22. База. п.1-1-44 (012103)</t>
  </si>
  <si>
    <t>Бульдозеры гусеничные, мощность до 79 кВт (108 л.с.)</t>
  </si>
  <si>
    <t>22.1-18-13</t>
  </si>
  <si>
    <t>СН-2012-2021.22. База. п.1-18-13 (184002)</t>
  </si>
  <si>
    <t>Автомобили-самосвалы, грузоподъемность до 10 т</t>
  </si>
  <si>
    <t>22.1-2-1</t>
  </si>
  <si>
    <t>СН-2012-2021.22. База. п.1-2-1 (020101)</t>
  </si>
  <si>
    <t>Тракторы на гусеничном ходу, мощность до 60 (81) кВт (л.с.)</t>
  </si>
  <si>
    <t>22.1-5-15</t>
  </si>
  <si>
    <t>СН-2012-2021.22. База. п.1-5-15 (050703)</t>
  </si>
  <si>
    <t>Катки прицепные пневмоколесные, масса до 50 т</t>
  </si>
  <si>
    <t>22.1-5-18</t>
  </si>
  <si>
    <t>СН-2012-2021.22. База. п.1-5-18 (050902)</t>
  </si>
  <si>
    <t>Поливомоечные машины, емкость цистерны более 5000 л</t>
  </si>
  <si>
    <t>22.1-5-48</t>
  </si>
  <si>
    <t>СН-2012-2021.22. База. п.1-5-48 (056003)</t>
  </si>
  <si>
    <t>Автогрейдеры, мощность 99-147 кВт (130-200 л.с.)</t>
  </si>
  <si>
    <t>22.1-5-7</t>
  </si>
  <si>
    <t>СН-2012-2021.22. База. п.1-5-7 (050301)</t>
  </si>
  <si>
    <t>Катки дорожные самоходные на пневмоколесном ходу, масса до 16 т</t>
  </si>
  <si>
    <t>21.1-12-10</t>
  </si>
  <si>
    <t>СН-2012-2021.21. База. Р.1, о.12, поз.10</t>
  </si>
  <si>
    <t>Песок для дорожных работ, рядовой</t>
  </si>
  <si>
    <t>21.1-25-13</t>
  </si>
  <si>
    <t>СН-2012-2021.21. База. Р.1, о.25, поз.13</t>
  </si>
  <si>
    <t>Вода</t>
  </si>
  <si>
    <t>22.1-1-43</t>
  </si>
  <si>
    <t>СН-2012-2021.22. База. п.1-1-43 (012102)</t>
  </si>
  <si>
    <t>Бульдозеры гусеничные, мощность до 59 кВт (80 л.с.)</t>
  </si>
  <si>
    <t>22.1-5-2</t>
  </si>
  <si>
    <t>СН-2012-2021.22. База. п.1-5-2 (050102)</t>
  </si>
  <si>
    <t>Катки самоходные вибрационные, масса до 8 т</t>
  </si>
  <si>
    <t>22.1-5-3</t>
  </si>
  <si>
    <t>СН-2012-2021.22. База. п.1-5-3 (050103)</t>
  </si>
  <si>
    <t>Катки самоходные вибрационные, масса более 8 т</t>
  </si>
  <si>
    <t>21.1-12-36</t>
  </si>
  <si>
    <t>СН-2012-2021.21. База. Р.1, о.12, поз.36</t>
  </si>
  <si>
    <t>Щебень из естественного камня для строительных работ, марка 1200-800, фракция 20-40 мм</t>
  </si>
  <si>
    <t>21.1-1-3</t>
  </si>
  <si>
    <t>СН-2012-2021.21. База. Р.1, о.1, поз.3</t>
  </si>
  <si>
    <t>Битумы нефтяные, дорожные жидкие, марка МГ, СГ</t>
  </si>
  <si>
    <t>22.1-1-5</t>
  </si>
  <si>
    <t>СН-2012-2021.22. База. п.1-1-5 (010109)</t>
  </si>
  <si>
    <t>Экскаваторы на гусеничном ходу гидравлические, объем ковша до 0,65 м3</t>
  </si>
  <si>
    <t>22.1-18-12</t>
  </si>
  <si>
    <t>СН-2012-2021.22. База. п.1-18-12 (184001)</t>
  </si>
  <si>
    <t>Автомобили-самосвалы, грузоподъемность до 7 т</t>
  </si>
  <si>
    <t>22.1-4-12</t>
  </si>
  <si>
    <t>СН-2012-2021.22. База. п.1-4-12 (040205)</t>
  </si>
  <si>
    <t>Погрузчики на автомобильном ходу, грузоподъемность до 5 т</t>
  </si>
  <si>
    <t>21.3-1-69</t>
  </si>
  <si>
    <t>СН-2012-2021.21. База. Р.3, о.1, поз.69</t>
  </si>
  <si>
    <t>Смеси бетонные, БСГ, тяжелого бетона на гранитном щебне, класс прочности: В15 (М200); П3, фракция 5-20, F50-100, W0-2</t>
  </si>
  <si>
    <t>21.3-2-15</t>
  </si>
  <si>
    <t>СН-2012-2021.21. База. Р.3, о.2, поз.15</t>
  </si>
  <si>
    <t>Растворы цементные, марка 100</t>
  </si>
  <si>
    <t>21.5-3-12</t>
  </si>
  <si>
    <t>СН-2012-2021.21. База. Р.5, о.3, поз.12</t>
  </si>
  <si>
    <t>Камни бетонные бортовые, марка БР60.20.8</t>
  </si>
  <si>
    <t>22.1-17-39</t>
  </si>
  <si>
    <t>СН-2012-2021.22. База. п.1-17-39 (176001)</t>
  </si>
  <si>
    <t>Плуги выкопочные (без трактора)</t>
  </si>
  <si>
    <t>22.1-2-7</t>
  </si>
  <si>
    <t>СН-2012-2021.22. База. п.1-2-7 (021003)</t>
  </si>
  <si>
    <t>Тракторы на пневмоколесном ходу, мощность до 60 (81) кВт (л.с.)</t>
  </si>
  <si>
    <t>21.4-6-5</t>
  </si>
  <si>
    <t>СН-2012-2021.21. База. Р.4, о.6, поз.5</t>
  </si>
  <si>
    <t>Земля растительная</t>
  </si>
  <si>
    <t>21.4-6-11</t>
  </si>
  <si>
    <t>СН-2012-2021.21. База. Р.4, о.6, поз.11</t>
  </si>
  <si>
    <t>Семена (смесь универсальная) газонных трав</t>
  </si>
  <si>
    <t>22.1-1-24</t>
  </si>
  <si>
    <t>СН-2012-2021.22. База. п.1-1-24 (010501)</t>
  </si>
  <si>
    <t>Экскаваторы на пневмоколесном тракторе гидравлические, объем ковша до 0,25 м3</t>
  </si>
  <si>
    <t>21.4-6-15</t>
  </si>
  <si>
    <t>СН-2012-2021.21. База. Р.4, о.6, поз.15</t>
  </si>
  <si>
    <t>Торф</t>
  </si>
  <si>
    <t>21.1-20-17</t>
  </si>
  <si>
    <t>СН-2012-2021.21. База. Р.1, о.20, поз.17</t>
  </si>
  <si>
    <t>Мешковина</t>
  </si>
  <si>
    <t>21.1-20-54</t>
  </si>
  <si>
    <t>СН-2012-2021.21. База. Р.1, о.20, поз.54</t>
  </si>
  <si>
    <t>Шпагат пеньковый</t>
  </si>
  <si>
    <t>21.4-6-7</t>
  </si>
  <si>
    <t>СН-2012-2021.21. База. Р.4, о.6, поз.7</t>
  </si>
  <si>
    <t>Колья деревянные для подвязки деревьев до 2,5м</t>
  </si>
  <si>
    <t>22.1-17-168</t>
  </si>
  <si>
    <t>СН-2012-2021.22. База. п.1-17-168 (266501)</t>
  </si>
  <si>
    <t>Укладчики полимерных покрытий на игровых и спортивных площадках, производительность 10-50 м2/ч</t>
  </si>
  <si>
    <t>22.1-30-102</t>
  </si>
  <si>
    <t>СН-2012-2021.22. База. п.1-30-102 (303704)</t>
  </si>
  <si>
    <t>Дрели электрические, двухскоростные, мощностью 600 Вт</t>
  </si>
  <si>
    <t>22.1-4-8</t>
  </si>
  <si>
    <t>СН-2012-2021.22. База. п.1-4-8 (040201)</t>
  </si>
  <si>
    <t>Погрузчики на автомобильном ходу, грузоподъемность до 1 т</t>
  </si>
  <si>
    <t>22.1-6-68</t>
  </si>
  <si>
    <t>СН-2012-2021.22. База. п.1-6-68 (067203)</t>
  </si>
  <si>
    <t>Растворосмесители стационарные, емкость до 250 л</t>
  </si>
  <si>
    <t>21.1-25-343</t>
  </si>
  <si>
    <t>СН-2012-2021.21. База. Р.1, о.25, поз.343</t>
  </si>
  <si>
    <t>Скипидар живичный</t>
  </si>
  <si>
    <t>21.1-25-776</t>
  </si>
  <si>
    <t>СН-2012-2021.21. База. Р.1, о.25, поз.776</t>
  </si>
  <si>
    <t>Средство связующее универсальное полиуретановое на основе резиновой и каучуковой крошки для устройства высокопрочных эластичных покрытий</t>
  </si>
  <si>
    <t>21.1-6-101</t>
  </si>
  <si>
    <t>СН-2012-2021.21. База. Р.1, о.6, поз.101</t>
  </si>
  <si>
    <t>Пигменты сухие для красок, кислотный желтый</t>
  </si>
  <si>
    <t>22.1-17-82</t>
  </si>
  <si>
    <t>СН-2012-2021.22. База. п.1-17-82 (177201)</t>
  </si>
  <si>
    <t>Виброплиты для уплотнения песка, гравия и бетона</t>
  </si>
  <si>
    <t>22.1-30-27</t>
  </si>
  <si>
    <t>СН-2012-2021.22. База. п.1-30-27 (306101)</t>
  </si>
  <si>
    <t>Пилы дисковые электрические для резки пиломатериалов</t>
  </si>
  <si>
    <t>21.1-12-11</t>
  </si>
  <si>
    <t>СН-2012-2021.21. База. Р.1, о.12, поз.11</t>
  </si>
  <si>
    <t>Песок для строительных работ, рядовой</t>
  </si>
  <si>
    <t>21.3-2-52</t>
  </si>
  <si>
    <t>СН-2012-2021.21. База. Р.3, о.2, поз.52</t>
  </si>
  <si>
    <t>Смеси сухие монтажно-кладочные цементно-песчаные: В12,5 (М150), F100, крупность заполнителя не более 3,5 мм</t>
  </si>
  <si>
    <t>21.7-3-11</t>
  </si>
  <si>
    <t>СН-2012-2021.21. База. Р.7, о.3, поз.11</t>
  </si>
  <si>
    <t>Диск отрезной с алмазным покрытием DC-D C1, диаметр 230 мм</t>
  </si>
  <si>
    <t>22.1-30-90</t>
  </si>
  <si>
    <t>СН-2012-2021.22. База. п.1-30-90 (302501)</t>
  </si>
  <si>
    <t>Дрели-миксеры импортного производства для перемешивания строительных материалов, скорость до 650 об/мин</t>
  </si>
  <si>
    <t>21.1-25-765</t>
  </si>
  <si>
    <t>СН-2012-2021.21. База. Р.1, о.25, поз.765</t>
  </si>
  <si>
    <t>Лента из полиэстера для фиксации искусственных газонов</t>
  </si>
  <si>
    <t>м</t>
  </si>
  <si>
    <t>21.1-25-766</t>
  </si>
  <si>
    <t>СН-2012-2021.21. База. Р.1, о.25, поз.766</t>
  </si>
  <si>
    <t>Клей полиуретановый двухкомпонентный для искусственных газонов</t>
  </si>
  <si>
    <t>21.1-25-767</t>
  </si>
  <si>
    <t>СН-2012-2021.21. База. Р.1, о.25, поз.767</t>
  </si>
  <si>
    <t>Трава искусственная (покрытие ковровое) нетканая, фибрилированная, высота ворса 10 мм</t>
  </si>
  <si>
    <t>22.1-13-15</t>
  </si>
  <si>
    <t>СН-2012-2021.22. База. п.1-13-15 (136201)</t>
  </si>
  <si>
    <t>Аппараты сварочные</t>
  </si>
  <si>
    <t>22.1-4-30</t>
  </si>
  <si>
    <t>СН-2012-2021.22. База. п.1-4-30 (042901)</t>
  </si>
  <si>
    <t>Лебедки электрические, грузоподъемность до 0,5 т</t>
  </si>
  <si>
    <t>9797010000</t>
  </si>
  <si>
    <t>Деревья и кустарники с комом</t>
  </si>
  <si>
    <t>5846300000</t>
  </si>
  <si>
    <t>Брусчатка бетонная прямая</t>
  </si>
  <si>
    <t>"СОГЛАСОВАНО"</t>
  </si>
  <si>
    <t>"УТВЕРЖДАЮ"</t>
  </si>
  <si>
    <t>Форма № 1а (глава 1-5)</t>
  </si>
  <si>
    <t>"_____"________________ 2021 г.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</si>
  <si>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</si>
  <si>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</si>
  <si>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</si>
  <si>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</si>
  <si>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</si>
  <si>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</si>
  <si>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</si>
  <si>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</si>
  <si>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</si>
  <si>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</si>
  <si>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</si>
  <si>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</si>
  <si>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</si>
  <si>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</si>
  <si>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</si>
  <si>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</si>
  <si>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</si>
  <si>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</si>
  <si>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</si>
  <si>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</si>
  <si>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</si>
  <si>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</si>
  <si>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>Составлен(а) в уровне текущих (прогнозных) цен октябрь 2020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</si>
  <si>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</si>
  <si>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</si>
  <si>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</si>
  <si>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</si>
  <si>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</si>
  <si>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</si>
  <si>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</si>
  <si>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</si>
  <si>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</si>
  <si>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</si>
  <si>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Составил   </t>
  </si>
  <si>
    <t>[должность,подпись(инициалы,фамилия)]</t>
  </si>
  <si>
    <t xml:space="preserve">Проверил  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</si>
  <si>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</si>
  <si>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</si>
  <si>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</si>
  <si>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</si>
  <si>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</si>
  <si>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</si>
  <si>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</si>
  <si>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</si>
  <si>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</si>
  <si>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</si>
  <si>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</si>
  <si>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</si>
  <si>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</si>
  <si>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</si>
  <si>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</si>
  <si>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</si>
  <si>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</si>
  <si>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</si>
  <si>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</si>
  <si>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</si>
  <si>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</si>
  <si>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</si>
  <si>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</si>
  <si>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</si>
  <si>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</si>
  <si>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</si>
  <si>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</si>
  <si>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</si>
  <si>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</si>
  <si>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</si>
  <si>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</si>
  <si>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</si>
  <si>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</si>
  <si>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</si>
  <si>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Благоустройство дворовых территорий Таганского района ЦАО г. Москвы в 2021 году (1-й этап)</t>
  </si>
  <si>
    <t>Обоснование</t>
  </si>
  <si>
    <t>Наименование</t>
  </si>
  <si>
    <t>Объем</t>
  </si>
  <si>
    <t>Текущая</t>
  </si>
  <si>
    <t>цена</t>
  </si>
  <si>
    <t>стоимость</t>
  </si>
  <si>
    <t>Локальная смета: Выполнение работ по благоустройству дворовых территориях Таганского района в 2021 году</t>
  </si>
  <si>
    <t>Раздел: Раздел 4.  А/б покрытие пешеходных тротуаров на новое основание (АТ-1) - 35 м2</t>
  </si>
  <si>
    <t xml:space="preserve">Материальные ресурсы </t>
  </si>
  <si>
    <t xml:space="preserve">Итого материальные ресурсы </t>
  </si>
  <si>
    <t>Раздел: Раздел 10.1 . Устройство новых оснований площадок (детские, спортивные, воркаут) АБП -  780м2 + 2444 м2</t>
  </si>
  <si>
    <t>Раздел: Раздел 11. Замена\устройство бортового камня садового(для оснований площадок детских, спортивных, воркаут) - 416 м/п + 100м/п</t>
  </si>
  <si>
    <t>Раздел: Раздел 24.1 Устройство покрытия на площадке для игровых видов спорта (1 см - EPDM) - 100м2 + 4710м2 + 1304м2</t>
  </si>
  <si>
    <t>Раздел: Раздел 27.1 Устройство нового пешеходного покрытия из бетонной плитки - 60 м2</t>
  </si>
  <si>
    <t>Раздел: 28. Замена/ устройство бортового камня  садового (для дорожно-тропиночной сети) - 40 м/п + 100 м/п</t>
  </si>
  <si>
    <t>Раздел: Раздел. 48 Устройство покрытия из искусственной травы - 1000 м2 (Спорт. общестрой)</t>
  </si>
  <si>
    <t>___________________________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</si>
  <si>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</si>
  <si>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</si>
  <si>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</si>
  <si>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</si>
  <si>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№ п/п</t>
  </si>
  <si>
    <t>Количество</t>
  </si>
  <si>
    <t>Примечание</t>
  </si>
  <si>
    <t>Подписи членов комиссии:</t>
  </si>
  <si>
    <t xml:space="preserve">Всего </t>
  </si>
  <si>
    <t xml:space="preserve">Раздел 24.1 Устройство покрытия на площадке для игровых видов спорта (1 см - EPDM) </t>
  </si>
  <si>
    <t xml:space="preserve">Раздел 10.1 . Устройство новых оснований площадок (детские, спортивные, воркаут) АБП </t>
  </si>
  <si>
    <t>4,7256</t>
  </si>
  <si>
    <t xml:space="preserve">Раздел 11. Замена\устройство бортового камня садового(для оснований площадок детских, спортивных, воркаут) </t>
  </si>
  <si>
    <t>Раздел 20.2 Ремонт газона (посевной) 10см</t>
  </si>
  <si>
    <t xml:space="preserve">28. Замена/ устройство бортового камня  садового (для дорожно-тропиночной сети)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</si>
</sst>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#,##0.00####;[Red]\-\ #,##0.00####"/>
    <numFmt numFmtId="166" formatCode="#,##0.00;[Red]\-\ #,##0.00"/>
  </numFmts>
  <fonts count="18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sz val="13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164" fontId="10" fillId="0" borderId="0" xfId="0" applyNumberFormat="1" applyFont="1"/>
    <xf numFmtId="1" fontId="10" fillId="0" borderId="0" xfId="0" applyNumberFormat="1" applyFont="1"/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6" fontId="15" fillId="0" borderId="0" xfId="0" applyNumberFormat="1" applyFont="1" applyAlignment="1">
      <alignment horizontal="right"/>
    </xf>
    <xf numFmtId="166" fontId="0" fillId="0" borderId="0" xfId="0" applyNumberFormat="1"/>
    <xf numFmtId="0" fontId="17" fillId="0" borderId="0" xfId="0" applyFont="1" applyAlignment="1">
      <alignment horizontal="right"/>
    </xf>
    <xf numFmtId="0" fontId="0" fillId="0" borderId="6" xfId="0" applyBorder="1"/>
    <xf numFmtId="166" fontId="17" fillId="0" borderId="6" xfId="0" applyNumberFormat="1" applyFont="1" applyBorder="1" applyAlignment="1">
      <alignment horizontal="right"/>
    </xf>
    <xf numFmtId="0" fontId="10" fillId="0" borderId="0" xfId="0" quotePrefix="1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0" fillId="0" borderId="1" xfId="0" applyFont="1" applyBorder="1"/>
    <xf numFmtId="0" fontId="11" fillId="0" borderId="3" xfId="0" quotePrefix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49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right" wrapText="1"/>
    </xf>
    <xf numFmtId="166" fontId="10" fillId="0" borderId="3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66" fontId="17" fillId="0" borderId="6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10" fillId="0" borderId="0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/>
    </xf>
    <xf numFmtId="166" fontId="17" fillId="0" borderId="3" xfId="0" applyNumberFormat="1" applyFont="1" applyBorder="1" applyAlignment="1">
      <alignment horizontal="right"/>
    </xf>
    <xf numFmtId="0" fontId="17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4"/>
  <sheetViews>
    <sheetView tabSelected="1" topLeftCell="A552" zoomScaleNormal="100" workbookViewId="0">
      <selection activeCell="A190" sqref="A190:K190"/>
    </sheetView>
  </sheetViews>
  <sheetFormatPr defaultRowHeight="12.75" x14ac:dyDescent="0.2"/>
  <cols>
    <col min="1" max="1" width="5.7109375" customWidth="1"/>
    <col min="2" max="2" width="16" customWidth="1"/>
    <col min="3" max="3" width="45" customWidth="1"/>
    <col min="4" max="6" width="11.7109375" customWidth="1"/>
    <col min="7" max="7" width="12.7109375" customWidth="1"/>
    <col min="9" max="11" width="12.7109375" customWidth="1"/>
    <col min="15" max="30" width="0" hidden="1" customWidth="1"/>
    <col min="31" max="31" width="149.140625" hidden="1" customWidth="1"/>
    <col min="32" max="32" width="113.140625" hidden="1" customWidth="1"/>
    <col min="33" max="36" width="0" hidden="1" customWidth="1"/>
  </cols>
  <sheetData>
    <row r="1" spans="1:11" x14ac:dyDescent="0.2">
      <c r="A1" s="8" t="str">
        <f>CONCATENATE(Source!B1, "     СН-2012 (© ОАО МЦЦС 'Мосстройцены', ", "2021", ")")</f>
        <v>Smeta.RU  (495) 974-1589     СН-2012 (© ОАО МЦЦС 'Мосстройцены', 2021)</v>
      </c>
    </row>
    <row r="2" spans="1:11" ht="14.25" x14ac:dyDescent="0.2">
      <c r="A2" s="9"/>
      <c r="B2" s="9"/>
      <c r="C2" s="9"/>
      <c r="D2" s="9"/>
      <c r="E2" s="9"/>
      <c r="F2" s="9"/>
      <c r="G2" s="9"/>
      <c r="H2" s="9"/>
      <c r="I2" s="9"/>
      <c r="J2" s="67" t="s">
        <v>427</v>
      </c>
      <c r="K2" s="67"/>
    </row>
    <row r="3" spans="1:11" ht="16.5" x14ac:dyDescent="0.25">
      <c r="A3" s="11"/>
      <c r="B3" s="75" t="s">
        <v>425</v>
      </c>
      <c r="C3" s="75"/>
      <c r="D3" s="75"/>
      <c r="E3" s="75"/>
      <c r="F3" s="10"/>
      <c r="G3" s="75" t="s">
        <v>426</v>
      </c>
      <c r="H3" s="75"/>
      <c r="I3" s="75"/>
      <c r="J3" s="75"/>
      <c r="K3" s="75"/>
    </row>
    <row r="4" spans="1:11" ht="14.25" x14ac:dyDescent="0.2">
      <c r="A4" s="10"/>
      <c r="B4" s="66"/>
      <c r="C4" s="66"/>
      <c r="D4" s="66"/>
      <c r="E4" s="66"/>
      <c r="F4" s="10"/>
      <c r="G4" s="66" t="s">
        <v>8</v>
      </c>
      <c r="H4" s="66"/>
      <c r="I4" s="66"/>
      <c r="J4" s="66"/>
      <c r="K4" s="66"/>
    </row>
    <row r="5" spans="1:11" ht="14.25" x14ac:dyDescent="0.2">
      <c r="A5" s="12"/>
      <c r="B5" s="12"/>
      <c r="C5" s="13"/>
      <c r="D5" s="13"/>
      <c r="E5" s="13"/>
      <c r="F5" s="10"/>
      <c r="G5" s="14"/>
      <c r="H5" s="13"/>
      <c r="I5" s="13"/>
      <c r="J5" s="13"/>
      <c r="K5" s="14"/>
    </row>
    <row r="6" spans="1:11" ht="14.25" x14ac:dyDescent="0.2">
      <c r="A6" s="14"/>
      <c r="B6" s="66" t="str">
        <f>CONCATENATE("______________________ ", IF(Source!AL12&lt;&gt;"", Source!AL12, ""))</f>
        <v xml:space="preserve">______________________ </v>
      </c>
      <c r="C6" s="66"/>
      <c r="D6" s="66"/>
      <c r="E6" s="66"/>
      <c r="F6" s="10"/>
      <c r="G6" s="66" t="str">
        <f>CONCATENATE("______________________")</f>
        <v>______________________</v>
      </c>
      <c r="H6" s="66"/>
      <c r="I6" s="66"/>
      <c r="J6" s="66"/>
      <c r="K6" s="66"/>
    </row>
    <row r="7" spans="1:11" ht="14.25" x14ac:dyDescent="0.2">
      <c r="A7" s="15"/>
      <c r="B7" s="71" t="s">
        <v>428</v>
      </c>
      <c r="C7" s="71"/>
      <c r="D7" s="71"/>
      <c r="E7" s="71"/>
      <c r="F7" s="10"/>
      <c r="G7" s="71" t="s">
        <v>428</v>
      </c>
      <c r="H7" s="71"/>
      <c r="I7" s="71"/>
      <c r="J7" s="71"/>
      <c r="K7" s="71"/>
    </row>
    <row r="9" spans="1:11" ht="14.2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72" t="str">
        <f>CONCATENATE( "ЛОКАЛЬНАЯ СМЕТА № ",IF(Source!F12&lt;&gt;"Новый объект", Source!F12, ""))</f>
        <v>ЛОКАЛЬНАЯ СМЕТА № 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x14ac:dyDescent="0.2">
      <c r="A11" s="69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hidden="1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4.25" hidden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x14ac:dyDescent="0.25">
      <c r="A15" s="68" t="str">
        <f>IF(Source!G12&lt;&gt;"Новый объект", Source!G12, "")</f>
        <v>Благоустройство дворовых территорий Таганского района ЦАО г. Москвы в 2021 году (1-й этап)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x14ac:dyDescent="0.2">
      <c r="A16" s="69" t="s">
        <v>430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4.2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x14ac:dyDescent="0.2">
      <c r="A18" s="57" t="str">
        <f>CONCATENATE( "Основание: чертежи № ", Source!J12)</f>
        <v xml:space="preserve">Основание: чертежи № 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4.2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 x14ac:dyDescent="0.2">
      <c r="A20" s="10"/>
      <c r="B20" s="10"/>
      <c r="C20" s="10"/>
      <c r="D20" s="10"/>
      <c r="E20" s="10"/>
      <c r="F20" s="66" t="s">
        <v>431</v>
      </c>
      <c r="G20" s="66"/>
      <c r="H20" s="66"/>
      <c r="I20" s="58">
        <f>(Source!F514/1000)</f>
        <v>8965.4345099999991</v>
      </c>
      <c r="J20" s="67"/>
      <c r="K20" s="10" t="s">
        <v>432</v>
      </c>
    </row>
    <row r="21" spans="1:11" ht="14.25" hidden="1" x14ac:dyDescent="0.2">
      <c r="A21" s="10"/>
      <c r="B21" s="10"/>
      <c r="C21" s="10"/>
      <c r="D21" s="10"/>
      <c r="E21" s="10"/>
      <c r="F21" s="66" t="s">
        <v>433</v>
      </c>
      <c r="G21" s="66"/>
      <c r="H21" s="66"/>
      <c r="I21" s="58">
        <f>(Source!F504)/1000</f>
        <v>221.21523000000002</v>
      </c>
      <c r="J21" s="67"/>
      <c r="K21" s="10" t="s">
        <v>432</v>
      </c>
    </row>
    <row r="22" spans="1:11" ht="14.25" hidden="1" x14ac:dyDescent="0.2">
      <c r="A22" s="10"/>
      <c r="B22" s="10"/>
      <c r="C22" s="10"/>
      <c r="D22" s="10"/>
      <c r="E22" s="10"/>
      <c r="F22" s="66" t="s">
        <v>434</v>
      </c>
      <c r="G22" s="66"/>
      <c r="H22" s="66"/>
      <c r="I22" s="58">
        <f>(Source!F505)/1000</f>
        <v>0</v>
      </c>
      <c r="J22" s="67"/>
      <c r="K22" s="10" t="s">
        <v>432</v>
      </c>
    </row>
    <row r="23" spans="1:11" ht="14.25" hidden="1" x14ac:dyDescent="0.2">
      <c r="A23" s="10"/>
      <c r="B23" s="10"/>
      <c r="C23" s="10"/>
      <c r="D23" s="10"/>
      <c r="E23" s="10"/>
      <c r="F23" s="66" t="s">
        <v>435</v>
      </c>
      <c r="G23" s="66"/>
      <c r="H23" s="66"/>
      <c r="I23" s="58">
        <f>(Source!F496)/1000</f>
        <v>0</v>
      </c>
      <c r="J23" s="67"/>
      <c r="K23" s="10" t="s">
        <v>432</v>
      </c>
    </row>
    <row r="24" spans="1:11" ht="14.25" hidden="1" x14ac:dyDescent="0.2">
      <c r="A24" s="10"/>
      <c r="B24" s="10"/>
      <c r="C24" s="10"/>
      <c r="D24" s="10"/>
      <c r="E24" s="10"/>
      <c r="F24" s="66" t="s">
        <v>436</v>
      </c>
      <c r="G24" s="66"/>
      <c r="H24" s="66"/>
      <c r="I24" s="58">
        <f>(Source!F506+Source!F507)/1000</f>
        <v>8744.2192799999993</v>
      </c>
      <c r="J24" s="67"/>
      <c r="K24" s="10" t="s">
        <v>432</v>
      </c>
    </row>
    <row r="25" spans="1:11" ht="14.25" x14ac:dyDescent="0.2">
      <c r="A25" s="10"/>
      <c r="B25" s="10"/>
      <c r="C25" s="10"/>
      <c r="D25" s="10"/>
      <c r="E25" s="10"/>
      <c r="F25" s="66" t="s">
        <v>437</v>
      </c>
      <c r="G25" s="66"/>
      <c r="H25" s="66"/>
      <c r="I25" s="58">
        <f>(Source!F502+ Source!F501)/1000</f>
        <v>1557.7264</v>
      </c>
      <c r="J25" s="67"/>
      <c r="K25" s="10" t="s">
        <v>432</v>
      </c>
    </row>
    <row r="26" spans="1:11" ht="14.25" x14ac:dyDescent="0.2">
      <c r="A26" s="10" t="s">
        <v>451</v>
      </c>
      <c r="B26" s="10"/>
      <c r="C26" s="10"/>
      <c r="D26" s="16"/>
      <c r="E26" s="17"/>
      <c r="F26" s="10"/>
      <c r="G26" s="10"/>
      <c r="H26" s="10"/>
      <c r="I26" s="10"/>
      <c r="J26" s="10"/>
      <c r="K26" s="10"/>
    </row>
    <row r="27" spans="1:11" ht="14.25" x14ac:dyDescent="0.2">
      <c r="A27" s="64" t="s">
        <v>438</v>
      </c>
      <c r="B27" s="64" t="s">
        <v>439</v>
      </c>
      <c r="C27" s="64" t="s">
        <v>440</v>
      </c>
      <c r="D27" s="64" t="s">
        <v>441</v>
      </c>
      <c r="E27" s="64" t="s">
        <v>442</v>
      </c>
      <c r="F27" s="64" t="s">
        <v>443</v>
      </c>
      <c r="G27" s="64" t="s">
        <v>444</v>
      </c>
      <c r="H27" s="64" t="s">
        <v>445</v>
      </c>
      <c r="I27" s="64" t="s">
        <v>446</v>
      </c>
      <c r="J27" s="64" t="s">
        <v>447</v>
      </c>
      <c r="K27" s="18" t="s">
        <v>448</v>
      </c>
    </row>
    <row r="28" spans="1:11" ht="28.5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19" t="s">
        <v>449</v>
      </c>
    </row>
    <row r="29" spans="1:11" ht="28.5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19" t="s">
        <v>450</v>
      </c>
    </row>
    <row r="30" spans="1:11" ht="14.25" x14ac:dyDescent="0.2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  <c r="K30" s="19">
        <v>11</v>
      </c>
    </row>
    <row r="32" spans="1:11" ht="16.5" x14ac:dyDescent="0.25">
      <c r="A32" s="62" t="str">
        <f>CONCATENATE("Раздел: ",IF(Source!G24&lt;&gt;"Новый раздел", Source!G24, ""))</f>
        <v>Раздел: Раздел 4.  А/б покрытие пешеходных тротуаров на новое основание (АТ-1) - 35 м2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22" ht="57" x14ac:dyDescent="0.2">
      <c r="A33" s="21" t="str">
        <f>Source!E28</f>
        <v>1</v>
      </c>
      <c r="B33" s="22" t="str">
        <f>Source!F28</f>
        <v>2.49-3101-3-3/1</v>
      </c>
      <c r="C33" s="22" t="str">
        <f>Source!G28</f>
        <v>Разработка грунта с погрузкой на автомобили-самосвалы экскаваторами с ковшом вместимостью 0,5 м3, группа грунтов 1-3</v>
      </c>
      <c r="D33" s="23" t="str">
        <f>Source!H28</f>
        <v>100 м3</v>
      </c>
      <c r="E33" s="9">
        <f>Source!I28</f>
        <v>0.14174999999999999</v>
      </c>
      <c r="F33" s="25"/>
      <c r="G33" s="24"/>
      <c r="H33" s="9"/>
      <c r="I33" s="9"/>
      <c r="J33" s="26"/>
      <c r="K33" s="26"/>
      <c r="Q33">
        <f>ROUND((Source!BZ28/100)*ROUND((Source!AF28*Source!AV28)*Source!I28, 2), 2)</f>
        <v>28.52</v>
      </c>
      <c r="R33">
        <f>Source!X28</f>
        <v>28.52</v>
      </c>
      <c r="S33">
        <f>ROUND((Source!CA28/100)*ROUND((Source!AF28*Source!AV28)*Source!I28, 2), 2)</f>
        <v>4.07</v>
      </c>
      <c r="T33">
        <f>Source!Y28</f>
        <v>4.07</v>
      </c>
      <c r="U33">
        <f>ROUND((175/100)*ROUND((Source!AE28*Source!AV28)*Source!I28, 2), 2)</f>
        <v>851.81</v>
      </c>
      <c r="V33">
        <f>ROUND((108/100)*ROUND(Source!CS28*Source!I28, 2), 2)</f>
        <v>525.69000000000005</v>
      </c>
    </row>
    <row r="34" spans="1:22" x14ac:dyDescent="0.2">
      <c r="C34" s="27" t="str">
        <f>"Объем: "&amp;Source!I28&amp;"=(35*"&amp;"0,45*"&amp;"0,9)/"&amp;"100"</f>
        <v>Объем: 0,14175=(35*0,45*0,9)/100</v>
      </c>
    </row>
    <row r="35" spans="1:22" ht="14.25" x14ac:dyDescent="0.2">
      <c r="A35" s="21"/>
      <c r="B35" s="22"/>
      <c r="C35" s="22" t="s">
        <v>452</v>
      </c>
      <c r="D35" s="23"/>
      <c r="E35" s="9"/>
      <c r="F35" s="25">
        <f>Source!AO28</f>
        <v>287.38</v>
      </c>
      <c r="G35" s="24" t="str">
        <f>Source!DG28</f>
        <v/>
      </c>
      <c r="H35" s="9">
        <f>Source!AV28</f>
        <v>1</v>
      </c>
      <c r="I35" s="9">
        <f>IF(Source!BA28&lt;&gt; 0, Source!BA28, 1)</f>
        <v>1</v>
      </c>
      <c r="J35" s="26">
        <f>Source!S28</f>
        <v>40.74</v>
      </c>
      <c r="K35" s="26"/>
    </row>
    <row r="36" spans="1:22" ht="14.25" x14ac:dyDescent="0.2">
      <c r="A36" s="21"/>
      <c r="B36" s="22"/>
      <c r="C36" s="22" t="s">
        <v>453</v>
      </c>
      <c r="D36" s="23"/>
      <c r="E36" s="9"/>
      <c r="F36" s="25">
        <f>Source!AM28</f>
        <v>8779.01</v>
      </c>
      <c r="G36" s="24" t="str">
        <f>Source!DE28</f>
        <v/>
      </c>
      <c r="H36" s="9">
        <f>Source!AV28</f>
        <v>1</v>
      </c>
      <c r="I36" s="9">
        <f>IF(Source!BB28&lt;&gt; 0, Source!BB28, 1)</f>
        <v>1</v>
      </c>
      <c r="J36" s="26">
        <f>Source!Q28</f>
        <v>1244.42</v>
      </c>
      <c r="K36" s="26"/>
    </row>
    <row r="37" spans="1:22" ht="14.25" x14ac:dyDescent="0.2">
      <c r="A37" s="21"/>
      <c r="B37" s="22"/>
      <c r="C37" s="22" t="s">
        <v>454</v>
      </c>
      <c r="D37" s="23"/>
      <c r="E37" s="9"/>
      <c r="F37" s="25">
        <f>Source!AN28</f>
        <v>3433.88</v>
      </c>
      <c r="G37" s="24" t="str">
        <f>Source!DF28</f>
        <v/>
      </c>
      <c r="H37" s="9">
        <f>Source!AV28</f>
        <v>1</v>
      </c>
      <c r="I37" s="9">
        <f>IF(Source!BS28&lt;&gt; 0, Source!BS28, 1)</f>
        <v>1</v>
      </c>
      <c r="J37" s="28">
        <f>Source!R28</f>
        <v>486.75</v>
      </c>
      <c r="K37" s="26"/>
    </row>
    <row r="38" spans="1:22" ht="14.25" x14ac:dyDescent="0.2">
      <c r="A38" s="21"/>
      <c r="B38" s="22"/>
      <c r="C38" s="22" t="s">
        <v>455</v>
      </c>
      <c r="D38" s="23" t="s">
        <v>456</v>
      </c>
      <c r="E38" s="9">
        <f>Source!AT28</f>
        <v>70</v>
      </c>
      <c r="F38" s="25"/>
      <c r="G38" s="24"/>
      <c r="H38" s="9"/>
      <c r="I38" s="9"/>
      <c r="J38" s="26">
        <f>SUM(R33:R37)</f>
        <v>28.52</v>
      </c>
      <c r="K38" s="26"/>
    </row>
    <row r="39" spans="1:22" ht="14.25" x14ac:dyDescent="0.2">
      <c r="A39" s="21"/>
      <c r="B39" s="22"/>
      <c r="C39" s="22" t="s">
        <v>457</v>
      </c>
      <c r="D39" s="23" t="s">
        <v>456</v>
      </c>
      <c r="E39" s="9">
        <f>Source!AU28</f>
        <v>10</v>
      </c>
      <c r="F39" s="25"/>
      <c r="G39" s="24"/>
      <c r="H39" s="9"/>
      <c r="I39" s="9"/>
      <c r="J39" s="26">
        <f>SUM(T33:T38)</f>
        <v>4.07</v>
      </c>
      <c r="K39" s="26"/>
    </row>
    <row r="40" spans="1:22" ht="14.25" x14ac:dyDescent="0.2">
      <c r="A40" s="21"/>
      <c r="B40" s="22"/>
      <c r="C40" s="22" t="s">
        <v>458</v>
      </c>
      <c r="D40" s="23" t="s">
        <v>456</v>
      </c>
      <c r="E40" s="9">
        <f>108</f>
        <v>108</v>
      </c>
      <c r="F40" s="25"/>
      <c r="G40" s="24"/>
      <c r="H40" s="9"/>
      <c r="I40" s="9"/>
      <c r="J40" s="26">
        <f>SUM(V33:V39)</f>
        <v>525.69000000000005</v>
      </c>
      <c r="K40" s="26"/>
    </row>
    <row r="41" spans="1:22" ht="14.25" x14ac:dyDescent="0.2">
      <c r="A41" s="21"/>
      <c r="B41" s="22"/>
      <c r="C41" s="22" t="s">
        <v>459</v>
      </c>
      <c r="D41" s="23" t="s">
        <v>460</v>
      </c>
      <c r="E41" s="9">
        <f>Source!AQ28</f>
        <v>1.59</v>
      </c>
      <c r="F41" s="25"/>
      <c r="G41" s="24" t="str">
        <f>Source!DI28</f>
        <v/>
      </c>
      <c r="H41" s="9">
        <f>Source!AV28</f>
        <v>1</v>
      </c>
      <c r="I41" s="9"/>
      <c r="J41" s="26"/>
      <c r="K41" s="26">
        <f>Source!U28</f>
        <v>0.22538249999999999</v>
      </c>
    </row>
    <row r="42" spans="1:22" ht="15" x14ac:dyDescent="0.25">
      <c r="A42" s="31"/>
      <c r="B42" s="31"/>
      <c r="C42" s="31"/>
      <c r="D42" s="31"/>
      <c r="E42" s="31"/>
      <c r="F42" s="31"/>
      <c r="G42" s="31"/>
      <c r="H42" s="31"/>
      <c r="I42" s="63">
        <f>J35+J36+J38+J39+J40</f>
        <v>1843.44</v>
      </c>
      <c r="J42" s="63"/>
      <c r="K42" s="32">
        <f>IF(Source!I28&lt;&gt;0, ROUND(I42/Source!I28, 2), 0)</f>
        <v>13004.87</v>
      </c>
      <c r="P42" s="29">
        <f>I42</f>
        <v>1843.44</v>
      </c>
    </row>
    <row r="43" spans="1:22" ht="42.75" x14ac:dyDescent="0.2">
      <c r="A43" s="21" t="str">
        <f>Source!E29</f>
        <v>2</v>
      </c>
      <c r="B43" s="22" t="str">
        <f>Source!F29</f>
        <v>2.49-3201-14-1/1</v>
      </c>
      <c r="C43" s="22" t="str">
        <f>Source!G29</f>
        <v>Разработка грунта вручную в траншеях глубиной до 2 м без креплений с откосами, группа грунтов 1-3</v>
      </c>
      <c r="D43" s="23" t="str">
        <f>Source!H29</f>
        <v>100 м3</v>
      </c>
      <c r="E43" s="9">
        <f>Source!I29</f>
        <v>1.575E-2</v>
      </c>
      <c r="F43" s="25"/>
      <c r="G43" s="24"/>
      <c r="H43" s="9"/>
      <c r="I43" s="9"/>
      <c r="J43" s="26"/>
      <c r="K43" s="26"/>
      <c r="Q43">
        <f>ROUND((Source!BZ29/100)*ROUND((Source!AF29*Source!AV29)*Source!I29, 2), 2)</f>
        <v>462.51</v>
      </c>
      <c r="R43">
        <f>Source!X29</f>
        <v>462.51</v>
      </c>
      <c r="S43">
        <f>ROUND((Source!CA29/100)*ROUND((Source!AF29*Source!AV29)*Source!I29, 2), 2)</f>
        <v>66.069999999999993</v>
      </c>
      <c r="T43">
        <f>Source!Y29</f>
        <v>66.069999999999993</v>
      </c>
      <c r="U43">
        <f>ROUND((175/100)*ROUND((Source!AE29*Source!AV29)*Source!I29, 2), 2)</f>
        <v>0</v>
      </c>
      <c r="V43">
        <f>ROUND((108/100)*ROUND(Source!CS29*Source!I29, 2), 2)</f>
        <v>0</v>
      </c>
    </row>
    <row r="44" spans="1:22" x14ac:dyDescent="0.2">
      <c r="C44" s="27" t="str">
        <f>"Объем: "&amp;Source!I29&amp;"=35*"&amp;"0,45*"&amp;"0,1/"&amp;"100"</f>
        <v>Объем: 0,01575=35*0,45*0,1/100</v>
      </c>
    </row>
    <row r="45" spans="1:22" ht="14.25" x14ac:dyDescent="0.2">
      <c r="A45" s="21"/>
      <c r="B45" s="22"/>
      <c r="C45" s="22" t="s">
        <v>452</v>
      </c>
      <c r="D45" s="23"/>
      <c r="E45" s="9"/>
      <c r="F45" s="25">
        <f>Source!AO29</f>
        <v>41951.1</v>
      </c>
      <c r="G45" s="24" t="str">
        <f>Source!DG29</f>
        <v/>
      </c>
      <c r="H45" s="9">
        <f>Source!AV29</f>
        <v>1</v>
      </c>
      <c r="I45" s="9">
        <f>IF(Source!BA29&lt;&gt; 0, Source!BA29, 1)</f>
        <v>1</v>
      </c>
      <c r="J45" s="26">
        <f>Source!S29</f>
        <v>660.73</v>
      </c>
      <c r="K45" s="26"/>
    </row>
    <row r="46" spans="1:22" ht="14.25" x14ac:dyDescent="0.2">
      <c r="A46" s="21"/>
      <c r="B46" s="22"/>
      <c r="C46" s="22" t="s">
        <v>455</v>
      </c>
      <c r="D46" s="23" t="s">
        <v>456</v>
      </c>
      <c r="E46" s="9">
        <f>Source!AT29</f>
        <v>70</v>
      </c>
      <c r="F46" s="25"/>
      <c r="G46" s="24"/>
      <c r="H46" s="9"/>
      <c r="I46" s="9"/>
      <c r="J46" s="26">
        <f>SUM(R43:R45)</f>
        <v>462.51</v>
      </c>
      <c r="K46" s="26"/>
    </row>
    <row r="47" spans="1:22" ht="14.25" x14ac:dyDescent="0.2">
      <c r="A47" s="21"/>
      <c r="B47" s="22"/>
      <c r="C47" s="22" t="s">
        <v>457</v>
      </c>
      <c r="D47" s="23" t="s">
        <v>456</v>
      </c>
      <c r="E47" s="9">
        <f>Source!AU29</f>
        <v>10</v>
      </c>
      <c r="F47" s="25"/>
      <c r="G47" s="24"/>
      <c r="H47" s="9"/>
      <c r="I47" s="9"/>
      <c r="J47" s="26">
        <f>SUM(T43:T46)</f>
        <v>66.069999999999993</v>
      </c>
      <c r="K47" s="26"/>
    </row>
    <row r="48" spans="1:22" ht="14.25" x14ac:dyDescent="0.2">
      <c r="A48" s="21"/>
      <c r="B48" s="22"/>
      <c r="C48" s="22" t="s">
        <v>459</v>
      </c>
      <c r="D48" s="23" t="s">
        <v>460</v>
      </c>
      <c r="E48" s="9">
        <f>Source!AQ29</f>
        <v>221.6</v>
      </c>
      <c r="F48" s="25"/>
      <c r="G48" s="24" t="str">
        <f>Source!DI29</f>
        <v/>
      </c>
      <c r="H48" s="9">
        <f>Source!AV29</f>
        <v>1</v>
      </c>
      <c r="I48" s="9"/>
      <c r="J48" s="26"/>
      <c r="K48" s="26">
        <f>Source!U29</f>
        <v>3.4901999999999997</v>
      </c>
    </row>
    <row r="49" spans="1:22" ht="15" x14ac:dyDescent="0.25">
      <c r="A49" s="31"/>
      <c r="B49" s="31"/>
      <c r="C49" s="31"/>
      <c r="D49" s="31"/>
      <c r="E49" s="31"/>
      <c r="F49" s="31"/>
      <c r="G49" s="31"/>
      <c r="H49" s="31"/>
      <c r="I49" s="63">
        <f>J45+J46+J47</f>
        <v>1189.31</v>
      </c>
      <c r="J49" s="63"/>
      <c r="K49" s="32">
        <f>IF(Source!I29&lt;&gt;0, ROUND(I49/Source!I29, 2), 0)</f>
        <v>75511.75</v>
      </c>
      <c r="P49" s="29">
        <f>I49</f>
        <v>1189.31</v>
      </c>
    </row>
    <row r="50" spans="1:22" ht="28.5" x14ac:dyDescent="0.2">
      <c r="A50" s="21" t="str">
        <f>Source!E30</f>
        <v>3</v>
      </c>
      <c r="B50" s="22" t="str">
        <f>Source!F30</f>
        <v>1.1-3101-6-1/1</v>
      </c>
      <c r="C50" s="22" t="str">
        <f>Source!G30</f>
        <v>Погрузка грунта вручную в автомобили-самосвалы с выгрузкой</v>
      </c>
      <c r="D50" s="23" t="str">
        <f>Source!H30</f>
        <v>100 м3</v>
      </c>
      <c r="E50" s="9">
        <f>Source!I30</f>
        <v>1.575E-3</v>
      </c>
      <c r="F50" s="25"/>
      <c r="G50" s="24"/>
      <c r="H50" s="9"/>
      <c r="I50" s="9"/>
      <c r="J50" s="26"/>
      <c r="K50" s="26"/>
      <c r="Q50">
        <f>ROUND((Source!BZ30/100)*ROUND((Source!AF30*Source!AV30)*Source!I30, 2), 2)</f>
        <v>12.27</v>
      </c>
      <c r="R50">
        <f>Source!X30</f>
        <v>12.27</v>
      </c>
      <c r="S50">
        <f>ROUND((Source!CA30/100)*ROUND((Source!AF30*Source!AV30)*Source!I30, 2), 2)</f>
        <v>1.75</v>
      </c>
      <c r="T50">
        <f>Source!Y30</f>
        <v>1.75</v>
      </c>
      <c r="U50">
        <f>ROUND((175/100)*ROUND((Source!AE30*Source!AV30)*Source!I30, 2), 2)</f>
        <v>0</v>
      </c>
      <c r="V50">
        <f>ROUND((108/100)*ROUND(Source!CS30*Source!I30, 2), 2)</f>
        <v>0</v>
      </c>
    </row>
    <row r="51" spans="1:22" x14ac:dyDescent="0.2">
      <c r="C51" s="27" t="str">
        <f>"Объем: "&amp;Source!I30&amp;"=35*"&amp;"0,45*"&amp;"0,1*"&amp;"0,1/"&amp;"100"</f>
        <v>Объем: 0,001575=35*0,45*0,1*0,1/100</v>
      </c>
    </row>
    <row r="52" spans="1:22" ht="14.25" x14ac:dyDescent="0.2">
      <c r="A52" s="21"/>
      <c r="B52" s="22"/>
      <c r="C52" s="22" t="s">
        <v>452</v>
      </c>
      <c r="D52" s="23"/>
      <c r="E52" s="9"/>
      <c r="F52" s="25">
        <f>Source!AO30</f>
        <v>11130.3</v>
      </c>
      <c r="G52" s="24" t="str">
        <f>Source!DG30</f>
        <v/>
      </c>
      <c r="H52" s="9">
        <f>Source!AV30</f>
        <v>1</v>
      </c>
      <c r="I52" s="9">
        <f>IF(Source!BA30&lt;&gt; 0, Source!BA30, 1)</f>
        <v>1</v>
      </c>
      <c r="J52" s="26">
        <f>Source!S30</f>
        <v>17.53</v>
      </c>
      <c r="K52" s="26"/>
    </row>
    <row r="53" spans="1:22" ht="14.25" x14ac:dyDescent="0.2">
      <c r="A53" s="21"/>
      <c r="B53" s="22"/>
      <c r="C53" s="22" t="s">
        <v>455</v>
      </c>
      <c r="D53" s="23" t="s">
        <v>456</v>
      </c>
      <c r="E53" s="9">
        <f>Source!AT30</f>
        <v>70</v>
      </c>
      <c r="F53" s="25"/>
      <c r="G53" s="24"/>
      <c r="H53" s="9"/>
      <c r="I53" s="9"/>
      <c r="J53" s="26">
        <f>SUM(R50:R52)</f>
        <v>12.27</v>
      </c>
      <c r="K53" s="26"/>
    </row>
    <row r="54" spans="1:22" ht="14.25" x14ac:dyDescent="0.2">
      <c r="A54" s="21"/>
      <c r="B54" s="22"/>
      <c r="C54" s="22" t="s">
        <v>457</v>
      </c>
      <c r="D54" s="23" t="s">
        <v>456</v>
      </c>
      <c r="E54" s="9">
        <f>Source!AU30</f>
        <v>10</v>
      </c>
      <c r="F54" s="25"/>
      <c r="G54" s="24"/>
      <c r="H54" s="9"/>
      <c r="I54" s="9"/>
      <c r="J54" s="26">
        <f>SUM(T50:T53)</f>
        <v>1.75</v>
      </c>
      <c r="K54" s="26"/>
    </row>
    <row r="55" spans="1:22" ht="14.25" x14ac:dyDescent="0.2">
      <c r="A55" s="21"/>
      <c r="B55" s="22"/>
      <c r="C55" s="22" t="s">
        <v>459</v>
      </c>
      <c r="D55" s="23" t="s">
        <v>460</v>
      </c>
      <c r="E55" s="9">
        <f>Source!AQ30</f>
        <v>83</v>
      </c>
      <c r="F55" s="25"/>
      <c r="G55" s="24" t="str">
        <f>Source!DI30</f>
        <v/>
      </c>
      <c r="H55" s="9">
        <f>Source!AV30</f>
        <v>1</v>
      </c>
      <c r="I55" s="9"/>
      <c r="J55" s="26"/>
      <c r="K55" s="26">
        <f>Source!U30</f>
        <v>0.13072500000000001</v>
      </c>
    </row>
    <row r="56" spans="1:22" ht="15" x14ac:dyDescent="0.25">
      <c r="A56" s="31"/>
      <c r="B56" s="31"/>
      <c r="C56" s="31"/>
      <c r="D56" s="31"/>
      <c r="E56" s="31"/>
      <c r="F56" s="31"/>
      <c r="G56" s="31"/>
      <c r="H56" s="31"/>
      <c r="I56" s="63">
        <f>J52+J53+J54</f>
        <v>31.55</v>
      </c>
      <c r="J56" s="63"/>
      <c r="K56" s="32">
        <f>IF(Source!I30&lt;&gt;0, ROUND(I56/Source!I30, 2), 0)</f>
        <v>20031.75</v>
      </c>
      <c r="P56" s="29">
        <f>I56</f>
        <v>31.55</v>
      </c>
    </row>
    <row r="57" spans="1:22" ht="42.75" x14ac:dyDescent="0.2">
      <c r="A57" s="21" t="str">
        <f>Source!E31</f>
        <v>4</v>
      </c>
      <c r="B57" s="22" t="str">
        <f>Source!F31</f>
        <v>2.49-3401-1-1/1</v>
      </c>
      <c r="C57" s="22" t="str">
        <f>Source!G31</f>
        <v>Перевозка грунта автосамосвалами грузоподъемностью до 10 т на расстояние 1 км</v>
      </c>
      <c r="D57" s="23" t="str">
        <f>Source!H31</f>
        <v>м3</v>
      </c>
      <c r="E57" s="9">
        <f>Source!I31</f>
        <v>15.75</v>
      </c>
      <c r="F57" s="25"/>
      <c r="G57" s="24"/>
      <c r="H57" s="9"/>
      <c r="I57" s="9"/>
      <c r="J57" s="26"/>
      <c r="K57" s="26"/>
      <c r="Q57">
        <f>ROUND((Source!BZ31/100)*ROUND((Source!AF31*Source!AV31)*Source!I31, 2), 2)</f>
        <v>0</v>
      </c>
      <c r="R57">
        <f>Source!X31</f>
        <v>0</v>
      </c>
      <c r="S57">
        <f>ROUND((Source!CA31/100)*ROUND((Source!AF31*Source!AV31)*Source!I31, 2), 2)</f>
        <v>0</v>
      </c>
      <c r="T57">
        <f>Source!Y31</f>
        <v>0</v>
      </c>
      <c r="U57">
        <f>ROUND((175/100)*ROUND((Source!AE31*Source!AV31)*Source!I31, 2), 2)</f>
        <v>707.26</v>
      </c>
      <c r="V57">
        <f>ROUND((108/100)*ROUND(Source!CS31*Source!I31, 2), 2)</f>
        <v>436.48</v>
      </c>
    </row>
    <row r="58" spans="1:22" x14ac:dyDescent="0.2">
      <c r="C58" s="27" t="str">
        <f>"Объем: "&amp;Source!I31&amp;"=35*"&amp;"0,45"</f>
        <v>Объем: 15,75=35*0,45</v>
      </c>
    </row>
    <row r="59" spans="1:22" ht="14.25" x14ac:dyDescent="0.2">
      <c r="A59" s="21"/>
      <c r="B59" s="22"/>
      <c r="C59" s="22" t="s">
        <v>453</v>
      </c>
      <c r="D59" s="23"/>
      <c r="E59" s="9"/>
      <c r="F59" s="25">
        <f>Source!AM31</f>
        <v>47.27</v>
      </c>
      <c r="G59" s="24" t="str">
        <f>Source!DE31</f>
        <v/>
      </c>
      <c r="H59" s="9">
        <f>Source!AV31</f>
        <v>1</v>
      </c>
      <c r="I59" s="9">
        <f>IF(Source!BB31&lt;&gt; 0, Source!BB31, 1)</f>
        <v>1</v>
      </c>
      <c r="J59" s="26">
        <f>Source!Q31</f>
        <v>744.5</v>
      </c>
      <c r="K59" s="26"/>
    </row>
    <row r="60" spans="1:22" ht="14.25" x14ac:dyDescent="0.2">
      <c r="A60" s="21"/>
      <c r="B60" s="22"/>
      <c r="C60" s="22" t="s">
        <v>454</v>
      </c>
      <c r="D60" s="23"/>
      <c r="E60" s="9"/>
      <c r="F60" s="25">
        <f>Source!AN31</f>
        <v>25.66</v>
      </c>
      <c r="G60" s="24" t="str">
        <f>Source!DF31</f>
        <v/>
      </c>
      <c r="H60" s="9">
        <f>Source!AV31</f>
        <v>1</v>
      </c>
      <c r="I60" s="9">
        <f>IF(Source!BS31&lt;&gt; 0, Source!BS31, 1)</f>
        <v>1</v>
      </c>
      <c r="J60" s="28">
        <f>Source!R31</f>
        <v>404.15</v>
      </c>
      <c r="K60" s="26"/>
    </row>
    <row r="61" spans="1:22" ht="15" x14ac:dyDescent="0.25">
      <c r="A61" s="31"/>
      <c r="B61" s="31"/>
      <c r="C61" s="31"/>
      <c r="D61" s="31"/>
      <c r="E61" s="31"/>
      <c r="F61" s="31"/>
      <c r="G61" s="31"/>
      <c r="H61" s="31"/>
      <c r="I61" s="63">
        <f>J59</f>
        <v>744.5</v>
      </c>
      <c r="J61" s="63"/>
      <c r="K61" s="32">
        <f>IF(Source!I31&lt;&gt;0, ROUND(I61/Source!I31, 2), 0)</f>
        <v>47.27</v>
      </c>
      <c r="P61" s="29">
        <f>I61</f>
        <v>744.5</v>
      </c>
    </row>
    <row r="62" spans="1:22" ht="57" x14ac:dyDescent="0.2">
      <c r="A62" s="21" t="str">
        <f>Source!E32</f>
        <v>5</v>
      </c>
      <c r="B62" s="22" t="str">
        <f>Source!F32</f>
        <v>2.49-3401-1-2/1</v>
      </c>
      <c r="C62" s="22" t="str">
        <f>Source!G32</f>
        <v>Перевозка грунта автосамосвалами грузоподъемностью до 10 т - добавляется на каждый последующий 1 км до 100 км (к поз. 49-3401-1-1)</v>
      </c>
      <c r="D62" s="23" t="str">
        <f>Source!H32</f>
        <v>м3</v>
      </c>
      <c r="E62" s="9">
        <f>Source!I32</f>
        <v>15.75</v>
      </c>
      <c r="F62" s="25"/>
      <c r="G62" s="24"/>
      <c r="H62" s="9"/>
      <c r="I62" s="9"/>
      <c r="J62" s="26"/>
      <c r="K62" s="26"/>
      <c r="Q62">
        <f>ROUND((Source!BZ32/100)*ROUND((Source!AF32*Source!AV32)*Source!I32, 2), 2)</f>
        <v>0</v>
      </c>
      <c r="R62">
        <f>Source!X32</f>
        <v>0</v>
      </c>
      <c r="S62">
        <f>ROUND((Source!CA32/100)*ROUND((Source!AF32*Source!AV32)*Source!I32, 2), 2)</f>
        <v>0</v>
      </c>
      <c r="T62">
        <f>Source!Y32</f>
        <v>0</v>
      </c>
      <c r="U62">
        <f>ROUND((175/100)*ROUND((Source!AE32*Source!AV32)*Source!I32, 2), 2)</f>
        <v>12323.75</v>
      </c>
      <c r="V62">
        <f>ROUND((108/100)*ROUND(Source!CS32*Source!I32, 2), 2)</f>
        <v>7605.51</v>
      </c>
    </row>
    <row r="63" spans="1:22" x14ac:dyDescent="0.2">
      <c r="C63" s="27" t="str">
        <f>"Объем: "&amp;Source!I32&amp;"="&amp;Source!I28&amp;"*"&amp;"100+"&amp;""&amp;Source!I29&amp;"*"&amp;"100"</f>
        <v>Объем: 15,75=0,14175*100+0,01575*100</v>
      </c>
    </row>
    <row r="64" spans="1:22" ht="14.25" x14ac:dyDescent="0.2">
      <c r="A64" s="21"/>
      <c r="B64" s="22"/>
      <c r="C64" s="22" t="s">
        <v>453</v>
      </c>
      <c r="D64" s="23"/>
      <c r="E64" s="9"/>
      <c r="F64" s="25">
        <f>Source!AM32</f>
        <v>15.25</v>
      </c>
      <c r="G64" s="24" t="str">
        <f>Source!DE32</f>
        <v>*54</v>
      </c>
      <c r="H64" s="9">
        <f>Source!AV32</f>
        <v>1</v>
      </c>
      <c r="I64" s="9">
        <f>IF(Source!BB32&lt;&gt; 0, Source!BB32, 1)</f>
        <v>1</v>
      </c>
      <c r="J64" s="26">
        <f>Source!Q32</f>
        <v>12970.13</v>
      </c>
      <c r="K64" s="26"/>
    </row>
    <row r="65" spans="1:22" ht="14.25" x14ac:dyDescent="0.2">
      <c r="A65" s="21"/>
      <c r="B65" s="22"/>
      <c r="C65" s="22" t="s">
        <v>454</v>
      </c>
      <c r="D65" s="23"/>
      <c r="E65" s="9"/>
      <c r="F65" s="25">
        <f>Source!AN32</f>
        <v>8.2799999999999994</v>
      </c>
      <c r="G65" s="24" t="str">
        <f>Source!DF32</f>
        <v>*54</v>
      </c>
      <c r="H65" s="9">
        <f>Source!AV32</f>
        <v>1</v>
      </c>
      <c r="I65" s="9">
        <f>IF(Source!BS32&lt;&gt; 0, Source!BS32, 1)</f>
        <v>1</v>
      </c>
      <c r="J65" s="28">
        <f>Source!R32</f>
        <v>7042.14</v>
      </c>
      <c r="K65" s="26"/>
    </row>
    <row r="66" spans="1:22" ht="15" x14ac:dyDescent="0.25">
      <c r="A66" s="31"/>
      <c r="B66" s="31"/>
      <c r="C66" s="31"/>
      <c r="D66" s="31"/>
      <c r="E66" s="31"/>
      <c r="F66" s="31"/>
      <c r="G66" s="31"/>
      <c r="H66" s="31"/>
      <c r="I66" s="63">
        <f>J64</f>
        <v>12970.13</v>
      </c>
      <c r="J66" s="63"/>
      <c r="K66" s="32">
        <f>IF(Source!I32&lt;&gt;0, ROUND(I66/Source!I32, 2), 0)</f>
        <v>823.5</v>
      </c>
      <c r="P66" s="29">
        <f>I66</f>
        <v>12970.13</v>
      </c>
    </row>
    <row r="67" spans="1:22" ht="85.5" x14ac:dyDescent="0.2">
      <c r="A67" s="21" t="str">
        <f>Source!E33</f>
        <v>6</v>
      </c>
      <c r="B67" s="22" t="str">
        <f>Source!F33</f>
        <v>Коммерческое предложение</v>
      </c>
      <c r="C67" s="22" t="str">
        <f>Source!G33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D67" s="23" t="str">
        <f>Source!H33</f>
        <v/>
      </c>
      <c r="E67" s="9">
        <f>Source!I33</f>
        <v>22.05</v>
      </c>
      <c r="F67" s="25">
        <f>Source!AL33</f>
        <v>100.3</v>
      </c>
      <c r="G67" s="24" t="str">
        <f>Source!DD33</f>
        <v/>
      </c>
      <c r="H67" s="9">
        <f>Source!AW33</f>
        <v>1</v>
      </c>
      <c r="I67" s="9">
        <f>IF(Source!BC33&lt;&gt; 0, Source!BC33, 1)</f>
        <v>1</v>
      </c>
      <c r="J67" s="26">
        <f>Source!P33</f>
        <v>2211.62</v>
      </c>
      <c r="K67" s="26"/>
      <c r="Q67">
        <f>ROUND((Source!BZ33/100)*ROUND((Source!AF33*Source!AV33)*Source!I33, 2), 2)</f>
        <v>0</v>
      </c>
      <c r="R67">
        <f>Source!X33</f>
        <v>0</v>
      </c>
      <c r="S67">
        <f>ROUND((Source!CA33/100)*ROUND((Source!AF33*Source!AV33)*Source!I33, 2), 2)</f>
        <v>0</v>
      </c>
      <c r="T67">
        <f>Source!Y33</f>
        <v>0</v>
      </c>
      <c r="U67">
        <f>ROUND((175/100)*ROUND((Source!AE33*Source!AV33)*Source!I33, 2), 2)</f>
        <v>0</v>
      </c>
      <c r="V67">
        <f>ROUND((108/100)*ROUND(Source!CS33*Source!I33, 2), 2)</f>
        <v>0</v>
      </c>
    </row>
    <row r="68" spans="1:22" x14ac:dyDescent="0.2">
      <c r="C68" s="27" t="str">
        <f>"Объем: "&amp;Source!I33&amp;"="&amp;Source!I32&amp;"*"&amp;"1,4"</f>
        <v>Объем: 22,05=15,75*1,4</v>
      </c>
    </row>
    <row r="69" spans="1:22" ht="15" x14ac:dyDescent="0.25">
      <c r="A69" s="31"/>
      <c r="B69" s="31"/>
      <c r="C69" s="31"/>
      <c r="D69" s="31"/>
      <c r="E69" s="31"/>
      <c r="F69" s="31"/>
      <c r="G69" s="31"/>
      <c r="H69" s="31"/>
      <c r="I69" s="63">
        <f>J67</f>
        <v>2211.62</v>
      </c>
      <c r="J69" s="63"/>
      <c r="K69" s="32">
        <f>IF(Source!I33&lt;&gt;0, ROUND(I69/Source!I33, 2), 0)</f>
        <v>100.3</v>
      </c>
      <c r="P69" s="29">
        <f>I69</f>
        <v>2211.62</v>
      </c>
    </row>
    <row r="70" spans="1:22" ht="30.75" customHeight="1" x14ac:dyDescent="0.2">
      <c r="A70" s="21" t="str">
        <f>Source!E34</f>
        <v>7</v>
      </c>
      <c r="B70" s="22" t="str">
        <f>Source!F34</f>
        <v>2.1-3303-1-1/1</v>
      </c>
      <c r="C70" s="22" t="str">
        <f>Source!G34</f>
        <v>Устройство подстилающих и выравнивающих слоев оснований из песка</v>
      </c>
      <c r="D70" s="23" t="str">
        <f>Source!H34</f>
        <v>100 м3</v>
      </c>
      <c r="E70" s="9">
        <f>Source!I34</f>
        <v>7.0000000000000007E-2</v>
      </c>
      <c r="F70" s="25"/>
      <c r="G70" s="24"/>
      <c r="H70" s="9"/>
      <c r="I70" s="9"/>
      <c r="J70" s="26"/>
      <c r="K70" s="26"/>
      <c r="Q70">
        <f>ROUND((Source!BZ34/100)*ROUND((Source!AF34*Source!AV34)*Source!I34, 2), 2)</f>
        <v>151.88</v>
      </c>
      <c r="R70">
        <f>Source!X34</f>
        <v>151.88</v>
      </c>
      <c r="S70">
        <f>ROUND((Source!CA34/100)*ROUND((Source!AF34*Source!AV34)*Source!I34, 2), 2)</f>
        <v>21.7</v>
      </c>
      <c r="T70">
        <f>Source!Y34</f>
        <v>21.7</v>
      </c>
      <c r="U70">
        <f>ROUND((175/100)*ROUND((Source!AE34*Source!AV34)*Source!I34, 2), 2)</f>
        <v>394.82</v>
      </c>
      <c r="V70">
        <f>ROUND((108/100)*ROUND(Source!CS34*Source!I34, 2), 2)</f>
        <v>243.66</v>
      </c>
    </row>
    <row r="71" spans="1:22" x14ac:dyDescent="0.2">
      <c r="C71" s="27" t="str">
        <f>"Объем: "&amp;Source!I34&amp;"=35*"&amp;"0,2/"&amp;"100"</f>
        <v>Объем: 0,07=35*0,2/100</v>
      </c>
    </row>
    <row r="72" spans="1:22" ht="14.25" x14ac:dyDescent="0.2">
      <c r="A72" s="21"/>
      <c r="B72" s="22"/>
      <c r="C72" s="22" t="s">
        <v>452</v>
      </c>
      <c r="D72" s="23"/>
      <c r="E72" s="9"/>
      <c r="F72" s="25">
        <f>Source!AO34</f>
        <v>3099.54</v>
      </c>
      <c r="G72" s="24" t="str">
        <f>Source!DG34</f>
        <v/>
      </c>
      <c r="H72" s="9">
        <f>Source!AV34</f>
        <v>1</v>
      </c>
      <c r="I72" s="9">
        <f>IF(Source!BA34&lt;&gt; 0, Source!BA34, 1)</f>
        <v>1</v>
      </c>
      <c r="J72" s="26">
        <f>Source!S34</f>
        <v>216.97</v>
      </c>
      <c r="K72" s="26"/>
    </row>
    <row r="73" spans="1:22" ht="14.25" x14ac:dyDescent="0.2">
      <c r="A73" s="21"/>
      <c r="B73" s="22"/>
      <c r="C73" s="22" t="s">
        <v>453</v>
      </c>
      <c r="D73" s="23"/>
      <c r="E73" s="9"/>
      <c r="F73" s="25">
        <f>Source!AM34</f>
        <v>7602.23</v>
      </c>
      <c r="G73" s="24" t="str">
        <f>Source!DE34</f>
        <v/>
      </c>
      <c r="H73" s="9">
        <f>Source!AV34</f>
        <v>1</v>
      </c>
      <c r="I73" s="9">
        <f>IF(Source!BB34&lt;&gt; 0, Source!BB34, 1)</f>
        <v>1</v>
      </c>
      <c r="J73" s="26">
        <f>Source!Q34</f>
        <v>532.16</v>
      </c>
      <c r="K73" s="26"/>
    </row>
    <row r="74" spans="1:22" ht="14.25" x14ac:dyDescent="0.2">
      <c r="A74" s="21"/>
      <c r="B74" s="22"/>
      <c r="C74" s="22" t="s">
        <v>454</v>
      </c>
      <c r="D74" s="23"/>
      <c r="E74" s="9"/>
      <c r="F74" s="25">
        <f>Source!AN34</f>
        <v>3222.98</v>
      </c>
      <c r="G74" s="24" t="str">
        <f>Source!DF34</f>
        <v/>
      </c>
      <c r="H74" s="9">
        <f>Source!AV34</f>
        <v>1</v>
      </c>
      <c r="I74" s="9">
        <f>IF(Source!BS34&lt;&gt; 0, Source!BS34, 1)</f>
        <v>1</v>
      </c>
      <c r="J74" s="28">
        <f>Source!R34</f>
        <v>225.61</v>
      </c>
      <c r="K74" s="26"/>
    </row>
    <row r="75" spans="1:22" ht="14.25" x14ac:dyDescent="0.2">
      <c r="A75" s="21"/>
      <c r="B75" s="22"/>
      <c r="C75" s="22" t="s">
        <v>461</v>
      </c>
      <c r="D75" s="23"/>
      <c r="E75" s="9"/>
      <c r="F75" s="25">
        <f>Source!AL34</f>
        <v>65162.05</v>
      </c>
      <c r="G75" s="24" t="str">
        <f>Source!DD34</f>
        <v/>
      </c>
      <c r="H75" s="9">
        <f>Source!AW34</f>
        <v>1</v>
      </c>
      <c r="I75" s="9">
        <f>IF(Source!BC34&lt;&gt; 0, Source!BC34, 1)</f>
        <v>1</v>
      </c>
      <c r="J75" s="26">
        <f>Source!P34</f>
        <v>4561.34</v>
      </c>
      <c r="K75" s="26"/>
    </row>
    <row r="76" spans="1:22" ht="14.25" x14ac:dyDescent="0.2">
      <c r="A76" s="21"/>
      <c r="B76" s="22"/>
      <c r="C76" s="22" t="s">
        <v>455</v>
      </c>
      <c r="D76" s="23" t="s">
        <v>456</v>
      </c>
      <c r="E76" s="9">
        <f>Source!AT34</f>
        <v>70</v>
      </c>
      <c r="F76" s="25"/>
      <c r="G76" s="24"/>
      <c r="H76" s="9"/>
      <c r="I76" s="9"/>
      <c r="J76" s="26">
        <f>SUM(R70:R75)</f>
        <v>151.88</v>
      </c>
      <c r="K76" s="26"/>
    </row>
    <row r="77" spans="1:22" ht="14.25" x14ac:dyDescent="0.2">
      <c r="A77" s="21"/>
      <c r="B77" s="22"/>
      <c r="C77" s="22" t="s">
        <v>457</v>
      </c>
      <c r="D77" s="23" t="s">
        <v>456</v>
      </c>
      <c r="E77" s="9">
        <f>Source!AU34</f>
        <v>10</v>
      </c>
      <c r="F77" s="25"/>
      <c r="G77" s="24"/>
      <c r="H77" s="9"/>
      <c r="I77" s="9"/>
      <c r="J77" s="26">
        <f>SUM(T70:T76)</f>
        <v>21.7</v>
      </c>
      <c r="K77" s="26"/>
    </row>
    <row r="78" spans="1:22" ht="14.25" x14ac:dyDescent="0.2">
      <c r="A78" s="21"/>
      <c r="B78" s="22"/>
      <c r="C78" s="22" t="s">
        <v>458</v>
      </c>
      <c r="D78" s="23" t="s">
        <v>456</v>
      </c>
      <c r="E78" s="9">
        <f>108</f>
        <v>108</v>
      </c>
      <c r="F78" s="25"/>
      <c r="G78" s="24"/>
      <c r="H78" s="9"/>
      <c r="I78" s="9"/>
      <c r="J78" s="26">
        <f>SUM(V70:V77)</f>
        <v>243.66</v>
      </c>
      <c r="K78" s="26"/>
    </row>
    <row r="79" spans="1:22" ht="14.25" x14ac:dyDescent="0.2">
      <c r="A79" s="21"/>
      <c r="B79" s="22"/>
      <c r="C79" s="22" t="s">
        <v>459</v>
      </c>
      <c r="D79" s="23" t="s">
        <v>460</v>
      </c>
      <c r="E79" s="9">
        <f>Source!AQ34</f>
        <v>16.559999999999999</v>
      </c>
      <c r="F79" s="25"/>
      <c r="G79" s="24" t="str">
        <f>Source!DI34</f>
        <v/>
      </c>
      <c r="H79" s="9">
        <f>Source!AV34</f>
        <v>1</v>
      </c>
      <c r="I79" s="9"/>
      <c r="J79" s="26"/>
      <c r="K79" s="26">
        <f>Source!U34</f>
        <v>1.1592</v>
      </c>
    </row>
    <row r="80" spans="1:22" ht="15" x14ac:dyDescent="0.25">
      <c r="A80" s="31"/>
      <c r="B80" s="31"/>
      <c r="C80" s="31"/>
      <c r="D80" s="31"/>
      <c r="E80" s="31"/>
      <c r="F80" s="31"/>
      <c r="G80" s="31"/>
      <c r="H80" s="31"/>
      <c r="I80" s="63">
        <f>J72+J73+J75+J76+J77+J78</f>
        <v>5727.71</v>
      </c>
      <c r="J80" s="63"/>
      <c r="K80" s="32">
        <f>IF(Source!I34&lt;&gt;0, ROUND(I80/Source!I34, 2), 0)</f>
        <v>81824.429999999993</v>
      </c>
      <c r="P80" s="29">
        <f>I80</f>
        <v>5727.71</v>
      </c>
    </row>
    <row r="81" spans="1:22" ht="28.5" x14ac:dyDescent="0.2">
      <c r="A81" s="21" t="str">
        <f>Source!E35</f>
        <v>8</v>
      </c>
      <c r="B81" s="22" t="str">
        <f>Source!F35</f>
        <v>2.1-3303-1-2/1</v>
      </c>
      <c r="C81" s="22" t="str">
        <f>Source!G35</f>
        <v>Устройство подстилающих и выравнивающих слоев оснований из щебня</v>
      </c>
      <c r="D81" s="23" t="str">
        <f>Source!H35</f>
        <v>100 м3</v>
      </c>
      <c r="E81" s="9">
        <f>Source!I35</f>
        <v>7.0000000000000007E-2</v>
      </c>
      <c r="F81" s="25"/>
      <c r="G81" s="24"/>
      <c r="H81" s="9"/>
      <c r="I81" s="9"/>
      <c r="J81" s="26"/>
      <c r="K81" s="26"/>
      <c r="Q81">
        <f>ROUND((Source!BZ35/100)*ROUND((Source!AF35*Source!AV35)*Source!I35, 2), 2)</f>
        <v>227.82</v>
      </c>
      <c r="R81">
        <f>Source!X35</f>
        <v>227.82</v>
      </c>
      <c r="S81">
        <f>ROUND((Source!CA35/100)*ROUND((Source!AF35*Source!AV35)*Source!I35, 2), 2)</f>
        <v>32.549999999999997</v>
      </c>
      <c r="T81">
        <f>Source!Y35</f>
        <v>32.549999999999997</v>
      </c>
      <c r="U81">
        <f>ROUND((175/100)*ROUND((Source!AE35*Source!AV35)*Source!I35, 2), 2)</f>
        <v>2598.86</v>
      </c>
      <c r="V81">
        <f>ROUND((108/100)*ROUND(Source!CS35*Source!I35, 2), 2)</f>
        <v>1603.86</v>
      </c>
    </row>
    <row r="82" spans="1:22" x14ac:dyDescent="0.2">
      <c r="C82" s="27" t="str">
        <f>"Объем: "&amp;Source!I35&amp;"=(35*"&amp;"0,2)/"&amp;"100"</f>
        <v>Объем: 0,07=(35*0,2)/100</v>
      </c>
    </row>
    <row r="83" spans="1:22" ht="14.25" x14ac:dyDescent="0.2">
      <c r="A83" s="21"/>
      <c r="B83" s="22"/>
      <c r="C83" s="22" t="s">
        <v>452</v>
      </c>
      <c r="D83" s="23"/>
      <c r="E83" s="9"/>
      <c r="F83" s="25">
        <f>Source!AO35</f>
        <v>4649.3</v>
      </c>
      <c r="G83" s="24" t="str">
        <f>Source!DG35</f>
        <v/>
      </c>
      <c r="H83" s="9">
        <f>Source!AV35</f>
        <v>1</v>
      </c>
      <c r="I83" s="9">
        <f>IF(Source!BA35&lt;&gt; 0, Source!BA35, 1)</f>
        <v>1</v>
      </c>
      <c r="J83" s="26">
        <f>Source!S35</f>
        <v>325.45</v>
      </c>
      <c r="K83" s="26"/>
    </row>
    <row r="84" spans="1:22" ht="14.25" x14ac:dyDescent="0.2">
      <c r="A84" s="21"/>
      <c r="B84" s="22"/>
      <c r="C84" s="22" t="s">
        <v>453</v>
      </c>
      <c r="D84" s="23"/>
      <c r="E84" s="9"/>
      <c r="F84" s="25">
        <f>Source!AM35</f>
        <v>53736.02</v>
      </c>
      <c r="G84" s="24" t="str">
        <f>Source!DE35</f>
        <v/>
      </c>
      <c r="H84" s="9">
        <f>Source!AV35</f>
        <v>1</v>
      </c>
      <c r="I84" s="9">
        <f>IF(Source!BB35&lt;&gt; 0, Source!BB35, 1)</f>
        <v>1</v>
      </c>
      <c r="J84" s="26">
        <f>Source!Q35</f>
        <v>3761.52</v>
      </c>
      <c r="K84" s="26"/>
    </row>
    <row r="85" spans="1:22" ht="14.25" x14ac:dyDescent="0.2">
      <c r="A85" s="21"/>
      <c r="B85" s="22"/>
      <c r="C85" s="22" t="s">
        <v>454</v>
      </c>
      <c r="D85" s="23"/>
      <c r="E85" s="9"/>
      <c r="F85" s="25">
        <f>Source!AN35</f>
        <v>21215.13</v>
      </c>
      <c r="G85" s="24" t="str">
        <f>Source!DF35</f>
        <v/>
      </c>
      <c r="H85" s="9">
        <f>Source!AV35</f>
        <v>1</v>
      </c>
      <c r="I85" s="9">
        <f>IF(Source!BS35&lt;&gt; 0, Source!BS35, 1)</f>
        <v>1</v>
      </c>
      <c r="J85" s="28">
        <f>Source!R35</f>
        <v>1485.06</v>
      </c>
      <c r="K85" s="26"/>
    </row>
    <row r="86" spans="1:22" ht="14.25" x14ac:dyDescent="0.2">
      <c r="A86" s="21"/>
      <c r="B86" s="22"/>
      <c r="C86" s="22" t="s">
        <v>461</v>
      </c>
      <c r="D86" s="23"/>
      <c r="E86" s="9"/>
      <c r="F86" s="25">
        <f>Source!AL35</f>
        <v>222479.25</v>
      </c>
      <c r="G86" s="24" t="str">
        <f>Source!DD35</f>
        <v/>
      </c>
      <c r="H86" s="9">
        <f>Source!AW35</f>
        <v>1</v>
      </c>
      <c r="I86" s="9">
        <f>IF(Source!BC35&lt;&gt; 0, Source!BC35, 1)</f>
        <v>1</v>
      </c>
      <c r="J86" s="26">
        <f>Source!P35</f>
        <v>15573.55</v>
      </c>
      <c r="K86" s="26"/>
    </row>
    <row r="87" spans="1:22" ht="14.25" x14ac:dyDescent="0.2">
      <c r="A87" s="21"/>
      <c r="B87" s="22"/>
      <c r="C87" s="22" t="s">
        <v>455</v>
      </c>
      <c r="D87" s="23" t="s">
        <v>456</v>
      </c>
      <c r="E87" s="9">
        <f>Source!AT35</f>
        <v>70</v>
      </c>
      <c r="F87" s="25"/>
      <c r="G87" s="24"/>
      <c r="H87" s="9"/>
      <c r="I87" s="9"/>
      <c r="J87" s="26">
        <f>SUM(R81:R86)</f>
        <v>227.82</v>
      </c>
      <c r="K87" s="26"/>
    </row>
    <row r="88" spans="1:22" ht="14.25" x14ac:dyDescent="0.2">
      <c r="A88" s="21"/>
      <c r="B88" s="22"/>
      <c r="C88" s="22" t="s">
        <v>457</v>
      </c>
      <c r="D88" s="23" t="s">
        <v>456</v>
      </c>
      <c r="E88" s="9">
        <f>Source!AU35</f>
        <v>10</v>
      </c>
      <c r="F88" s="25"/>
      <c r="G88" s="24"/>
      <c r="H88" s="9"/>
      <c r="I88" s="9"/>
      <c r="J88" s="26">
        <f>SUM(T81:T87)</f>
        <v>32.549999999999997</v>
      </c>
      <c r="K88" s="26"/>
    </row>
    <row r="89" spans="1:22" ht="14.25" x14ac:dyDescent="0.2">
      <c r="A89" s="21"/>
      <c r="B89" s="22"/>
      <c r="C89" s="22" t="s">
        <v>458</v>
      </c>
      <c r="D89" s="23" t="s">
        <v>456</v>
      </c>
      <c r="E89" s="9">
        <f>108</f>
        <v>108</v>
      </c>
      <c r="F89" s="25"/>
      <c r="G89" s="24"/>
      <c r="H89" s="9"/>
      <c r="I89" s="9"/>
      <c r="J89" s="26">
        <f>SUM(V81:V88)</f>
        <v>1603.86</v>
      </c>
      <c r="K89" s="26"/>
    </row>
    <row r="90" spans="1:22" ht="14.25" x14ac:dyDescent="0.2">
      <c r="A90" s="21"/>
      <c r="B90" s="22"/>
      <c r="C90" s="22" t="s">
        <v>459</v>
      </c>
      <c r="D90" s="23" t="s">
        <v>460</v>
      </c>
      <c r="E90" s="9">
        <f>Source!AQ35</f>
        <v>24.84</v>
      </c>
      <c r="F90" s="25"/>
      <c r="G90" s="24" t="str">
        <f>Source!DI35</f>
        <v/>
      </c>
      <c r="H90" s="9">
        <f>Source!AV35</f>
        <v>1</v>
      </c>
      <c r="I90" s="9"/>
      <c r="J90" s="26"/>
      <c r="K90" s="26">
        <f>Source!U35</f>
        <v>1.7388000000000001</v>
      </c>
    </row>
    <row r="91" spans="1:22" ht="15" x14ac:dyDescent="0.25">
      <c r="A91" s="31"/>
      <c r="B91" s="31"/>
      <c r="C91" s="31"/>
      <c r="D91" s="31"/>
      <c r="E91" s="31"/>
      <c r="F91" s="31"/>
      <c r="G91" s="31"/>
      <c r="H91" s="31"/>
      <c r="I91" s="63">
        <f>J83+J84+J86+J87+J88+J89</f>
        <v>21524.75</v>
      </c>
      <c r="J91" s="63"/>
      <c r="K91" s="32">
        <f>IF(Source!I35&lt;&gt;0, ROUND(I91/Source!I35, 2), 0)</f>
        <v>307496.43</v>
      </c>
      <c r="P91" s="29">
        <f>I91</f>
        <v>21524.75</v>
      </c>
    </row>
    <row r="92" spans="1:22" ht="57" x14ac:dyDescent="0.2">
      <c r="A92" s="21" t="str">
        <f>Source!E36</f>
        <v>9</v>
      </c>
      <c r="B92" s="22" t="str">
        <f>Source!F36</f>
        <v>2.1-3103-19-4/1</v>
      </c>
      <c r="C92" s="22" t="str">
        <f>Source!G36</f>
        <v>Устройство асфальтобетонных покрытий дорожек и тротуаров двухслойных, верхний слой из песчаной асфальтобетонной смеси толщиной 3 см/ 5см</v>
      </c>
      <c r="D92" s="23" t="str">
        <f>Source!H36</f>
        <v>100 м2</v>
      </c>
      <c r="E92" s="9">
        <f>Source!I36</f>
        <v>0.35</v>
      </c>
      <c r="F92" s="25"/>
      <c r="G92" s="24"/>
      <c r="H92" s="9"/>
      <c r="I92" s="9"/>
      <c r="J92" s="26"/>
      <c r="K92" s="26"/>
      <c r="Q92">
        <f>ROUND((Source!BZ36/100)*ROUND((Source!AF36*Source!AV36)*Source!I36, 2), 2)</f>
        <v>576.98</v>
      </c>
      <c r="R92">
        <f>Source!X36</f>
        <v>576.98</v>
      </c>
      <c r="S92">
        <f>ROUND((Source!CA36/100)*ROUND((Source!AF36*Source!AV36)*Source!I36, 2), 2)</f>
        <v>82.43</v>
      </c>
      <c r="T92">
        <f>Source!Y36</f>
        <v>82.43</v>
      </c>
      <c r="U92">
        <f>ROUND((175/100)*ROUND((Source!AE36*Source!AV36)*Source!I36, 2), 2)</f>
        <v>288.93</v>
      </c>
      <c r="V92">
        <f>ROUND((108/100)*ROUND(Source!CS36*Source!I36, 2), 2)</f>
        <v>178.31</v>
      </c>
    </row>
    <row r="93" spans="1:22" ht="14.25" x14ac:dyDescent="0.2">
      <c r="A93" s="21"/>
      <c r="B93" s="22"/>
      <c r="C93" s="22" t="s">
        <v>452</v>
      </c>
      <c r="D93" s="23"/>
      <c r="E93" s="9"/>
      <c r="F93" s="25">
        <f>Source!AO36</f>
        <v>2354.9899999999998</v>
      </c>
      <c r="G93" s="24" t="str">
        <f>Source!DG36</f>
        <v/>
      </c>
      <c r="H93" s="9">
        <f>Source!AV36</f>
        <v>1</v>
      </c>
      <c r="I93" s="9">
        <f>IF(Source!BA36&lt;&gt; 0, Source!BA36, 1)</f>
        <v>1</v>
      </c>
      <c r="J93" s="26">
        <f>Source!S36</f>
        <v>824.25</v>
      </c>
      <c r="K93" s="26"/>
    </row>
    <row r="94" spans="1:22" ht="14.25" x14ac:dyDescent="0.2">
      <c r="A94" s="21"/>
      <c r="B94" s="22"/>
      <c r="C94" s="22" t="s">
        <v>453</v>
      </c>
      <c r="D94" s="23"/>
      <c r="E94" s="9"/>
      <c r="F94" s="25">
        <f>Source!AM36</f>
        <v>1123.06</v>
      </c>
      <c r="G94" s="24" t="str">
        <f>Source!DE36</f>
        <v/>
      </c>
      <c r="H94" s="9">
        <f>Source!AV36</f>
        <v>1</v>
      </c>
      <c r="I94" s="9">
        <f>IF(Source!BB36&lt;&gt; 0, Source!BB36, 1)</f>
        <v>1</v>
      </c>
      <c r="J94" s="26">
        <f>Source!Q36</f>
        <v>393.07</v>
      </c>
      <c r="K94" s="26"/>
    </row>
    <row r="95" spans="1:22" ht="14.25" x14ac:dyDescent="0.2">
      <c r="A95" s="21"/>
      <c r="B95" s="22"/>
      <c r="C95" s="22" t="s">
        <v>454</v>
      </c>
      <c r="D95" s="23"/>
      <c r="E95" s="9"/>
      <c r="F95" s="25">
        <f>Source!AN36</f>
        <v>471.72</v>
      </c>
      <c r="G95" s="24" t="str">
        <f>Source!DF36</f>
        <v/>
      </c>
      <c r="H95" s="9">
        <f>Source!AV36</f>
        <v>1</v>
      </c>
      <c r="I95" s="9">
        <f>IF(Source!BS36&lt;&gt; 0, Source!BS36, 1)</f>
        <v>1</v>
      </c>
      <c r="J95" s="28">
        <f>Source!R36</f>
        <v>165.1</v>
      </c>
      <c r="K95" s="26"/>
    </row>
    <row r="96" spans="1:22" ht="14.25" x14ac:dyDescent="0.2">
      <c r="A96" s="21"/>
      <c r="B96" s="22"/>
      <c r="C96" s="22" t="s">
        <v>461</v>
      </c>
      <c r="D96" s="23"/>
      <c r="E96" s="9"/>
      <c r="F96" s="25">
        <f>Source!AL36</f>
        <v>20488.849999999999</v>
      </c>
      <c r="G96" s="24" t="str">
        <f>Source!DD36</f>
        <v/>
      </c>
      <c r="H96" s="9">
        <f>Source!AW36</f>
        <v>1</v>
      </c>
      <c r="I96" s="9">
        <f>IF(Source!BC36&lt;&gt; 0, Source!BC36, 1)</f>
        <v>1</v>
      </c>
      <c r="J96" s="26">
        <f>Source!P36</f>
        <v>7171.1</v>
      </c>
      <c r="K96" s="26"/>
    </row>
    <row r="97" spans="1:32" ht="28.5" x14ac:dyDescent="0.2">
      <c r="A97" s="21" t="str">
        <f>Source!E37</f>
        <v>9,1</v>
      </c>
      <c r="B97" s="22" t="str">
        <f>Source!F37</f>
        <v>21.3-3-34</v>
      </c>
      <c r="C97" s="22" t="str">
        <f>Source!G37</f>
        <v>Смеси асфальтобетонные дорожные горячие песчаные, тип Д, марка III</v>
      </c>
      <c r="D97" s="23" t="str">
        <f>Source!H37</f>
        <v>т</v>
      </c>
      <c r="E97" s="9">
        <f>Source!I37</f>
        <v>-2.4990000000000001</v>
      </c>
      <c r="F97" s="25">
        <f>Source!AK37</f>
        <v>2652.04</v>
      </c>
      <c r="G97" s="33" t="s">
        <v>3</v>
      </c>
      <c r="H97" s="9">
        <f>Source!AW37</f>
        <v>1</v>
      </c>
      <c r="I97" s="9">
        <f>IF(Source!BC37&lt;&gt; 0, Source!BC37, 1)</f>
        <v>1</v>
      </c>
      <c r="J97" s="26">
        <f>Source!O37</f>
        <v>-6627.45</v>
      </c>
      <c r="K97" s="26"/>
      <c r="Q97">
        <f>ROUND((Source!BZ37/100)*ROUND((Source!AF37*Source!AV37)*Source!I37, 2), 2)</f>
        <v>0</v>
      </c>
      <c r="R97">
        <f>Source!X37</f>
        <v>0</v>
      </c>
      <c r="S97">
        <f>ROUND((Source!CA37/100)*ROUND((Source!AF37*Source!AV37)*Source!I37, 2), 2)</f>
        <v>0</v>
      </c>
      <c r="T97">
        <f>Source!Y37</f>
        <v>0</v>
      </c>
      <c r="U97">
        <f>ROUND((175/100)*ROUND((Source!AE37*Source!AV37)*Source!I37, 2), 2)</f>
        <v>0</v>
      </c>
      <c r="V97">
        <f>ROUND((108/100)*ROUND(Source!CS37*Source!I37, 2), 2)</f>
        <v>0</v>
      </c>
    </row>
    <row r="98" spans="1:32" ht="28.5" x14ac:dyDescent="0.2">
      <c r="A98" s="21" t="str">
        <f>Source!E38</f>
        <v>9,2</v>
      </c>
      <c r="B98" s="22" t="str">
        <f>Source!F38</f>
        <v>21.3-3-34</v>
      </c>
      <c r="C98" s="22" t="str">
        <f>Source!G38</f>
        <v>Смеси асфальтобетонные дорожные горячие песчаные, тип Д, марка III</v>
      </c>
      <c r="D98" s="23" t="str">
        <f>Source!H38</f>
        <v>т</v>
      </c>
      <c r="E98" s="9">
        <f>Source!I38</f>
        <v>4.165</v>
      </c>
      <c r="F98" s="25">
        <f>Source!AK38</f>
        <v>2652.04</v>
      </c>
      <c r="G98" s="33" t="s">
        <v>3</v>
      </c>
      <c r="H98" s="9">
        <f>Source!AW38</f>
        <v>1</v>
      </c>
      <c r="I98" s="9">
        <f>IF(Source!BC38&lt;&gt; 0, Source!BC38, 1)</f>
        <v>1</v>
      </c>
      <c r="J98" s="26">
        <f>Source!O38</f>
        <v>11045.75</v>
      </c>
      <c r="K98" s="26"/>
      <c r="Q98">
        <f>ROUND((Source!BZ38/100)*ROUND((Source!AF38*Source!AV38)*Source!I38, 2), 2)</f>
        <v>0</v>
      </c>
      <c r="R98">
        <f>Source!X38</f>
        <v>0</v>
      </c>
      <c r="S98">
        <f>ROUND((Source!CA38/100)*ROUND((Source!AF38*Source!AV38)*Source!I38, 2), 2)</f>
        <v>0</v>
      </c>
      <c r="T98">
        <f>Source!Y38</f>
        <v>0</v>
      </c>
      <c r="U98">
        <f>ROUND((175/100)*ROUND((Source!AE38*Source!AV38)*Source!I38, 2), 2)</f>
        <v>0</v>
      </c>
      <c r="V98">
        <f>ROUND((108/100)*ROUND(Source!CS38*Source!I38, 2), 2)</f>
        <v>0</v>
      </c>
    </row>
    <row r="99" spans="1:32" ht="14.25" x14ac:dyDescent="0.2">
      <c r="A99" s="21"/>
      <c r="B99" s="22"/>
      <c r="C99" s="22" t="s">
        <v>455</v>
      </c>
      <c r="D99" s="23" t="s">
        <v>456</v>
      </c>
      <c r="E99" s="9">
        <f>Source!AT36</f>
        <v>70</v>
      </c>
      <c r="F99" s="25"/>
      <c r="G99" s="24"/>
      <c r="H99" s="9"/>
      <c r="I99" s="9"/>
      <c r="J99" s="26">
        <f>SUM(R92:R98)</f>
        <v>576.98</v>
      </c>
      <c r="K99" s="26"/>
    </row>
    <row r="100" spans="1:32" ht="14.25" x14ac:dyDescent="0.2">
      <c r="A100" s="21"/>
      <c r="B100" s="22"/>
      <c r="C100" s="22" t="s">
        <v>457</v>
      </c>
      <c r="D100" s="23" t="s">
        <v>456</v>
      </c>
      <c r="E100" s="9">
        <f>Source!AU36</f>
        <v>10</v>
      </c>
      <c r="F100" s="25"/>
      <c r="G100" s="24"/>
      <c r="H100" s="9"/>
      <c r="I100" s="9"/>
      <c r="J100" s="26">
        <f>SUM(T92:T99)</f>
        <v>82.43</v>
      </c>
      <c r="K100" s="26"/>
    </row>
    <row r="101" spans="1:32" ht="14.25" x14ac:dyDescent="0.2">
      <c r="A101" s="21"/>
      <c r="B101" s="22"/>
      <c r="C101" s="22" t="s">
        <v>458</v>
      </c>
      <c r="D101" s="23" t="s">
        <v>456</v>
      </c>
      <c r="E101" s="9">
        <f>108</f>
        <v>108</v>
      </c>
      <c r="F101" s="25"/>
      <c r="G101" s="24"/>
      <c r="H101" s="9"/>
      <c r="I101" s="9"/>
      <c r="J101" s="26">
        <f>SUM(V92:V100)</f>
        <v>178.31</v>
      </c>
      <c r="K101" s="26"/>
    </row>
    <row r="102" spans="1:32" ht="14.25" x14ac:dyDescent="0.2">
      <c r="A102" s="21"/>
      <c r="B102" s="22"/>
      <c r="C102" s="22" t="s">
        <v>459</v>
      </c>
      <c r="D102" s="23" t="s">
        <v>460</v>
      </c>
      <c r="E102" s="9">
        <f>Source!AQ36</f>
        <v>10.3</v>
      </c>
      <c r="F102" s="25"/>
      <c r="G102" s="24" t="str">
        <f>Source!DI36</f>
        <v/>
      </c>
      <c r="H102" s="9">
        <f>Source!AV36</f>
        <v>1</v>
      </c>
      <c r="I102" s="9"/>
      <c r="J102" s="26"/>
      <c r="K102" s="26">
        <f>Source!U36</f>
        <v>3.605</v>
      </c>
    </row>
    <row r="103" spans="1:32" ht="15" x14ac:dyDescent="0.25">
      <c r="A103" s="31"/>
      <c r="B103" s="31"/>
      <c r="C103" s="31"/>
      <c r="D103" s="31"/>
      <c r="E103" s="31"/>
      <c r="F103" s="31"/>
      <c r="G103" s="31"/>
      <c r="H103" s="31"/>
      <c r="I103" s="63">
        <f>J93+J94+J96+J99+J100+J101+SUM(J97:J98)</f>
        <v>13644.439999999999</v>
      </c>
      <c r="J103" s="63"/>
      <c r="K103" s="32">
        <f>IF(Source!I36&lt;&gt;0, ROUND(I103/Source!I36, 2), 0)</f>
        <v>38984.11</v>
      </c>
      <c r="P103" s="29">
        <f>I103</f>
        <v>13644.439999999999</v>
      </c>
    </row>
    <row r="105" spans="1:32" ht="15" x14ac:dyDescent="0.25">
      <c r="A105" s="59" t="str">
        <f>CONCATENATE("Итого по разделу: ",IF(Source!G40&lt;&gt;"Новый раздел", Source!G40, ""))</f>
        <v>Итого по разделу: Раздел 4.  А/б покрытие пешеходных тротуаров на новое основание (АТ-1) - 35 м2</v>
      </c>
      <c r="B105" s="59"/>
      <c r="C105" s="59"/>
      <c r="D105" s="59"/>
      <c r="E105" s="59"/>
      <c r="F105" s="59"/>
      <c r="G105" s="59"/>
      <c r="H105" s="59"/>
      <c r="I105" s="60">
        <f>SUM(P32:P104)</f>
        <v>59887.45</v>
      </c>
      <c r="J105" s="61"/>
      <c r="K105" s="34"/>
      <c r="AF105" s="35" t="str">
        <f>CONCATENATE("Итого по разделу: ",IF(Source!G40&lt;&gt;"Новый раздел", Source!G40, ""))</f>
        <v>Итого по разделу: Раздел 4.  А/б покрытие пешеходных тротуаров на новое основание (АТ-1) - 35 м2</v>
      </c>
    </row>
    <row r="107" spans="1:32" ht="14.25" x14ac:dyDescent="0.2">
      <c r="C107" s="57" t="str">
        <f>Source!H68</f>
        <v>Итого</v>
      </c>
      <c r="D107" s="57"/>
      <c r="E107" s="57"/>
      <c r="F107" s="57"/>
      <c r="G107" s="57"/>
      <c r="H107" s="57"/>
      <c r="I107" s="58">
        <f>IF(Source!F68=0, "", Source!F68)</f>
        <v>59887.45</v>
      </c>
      <c r="J107" s="58"/>
    </row>
    <row r="108" spans="1:32" ht="14.25" x14ac:dyDescent="0.2">
      <c r="C108" s="57" t="str">
        <f>Source!H69</f>
        <v>НДС 20%</v>
      </c>
      <c r="D108" s="57"/>
      <c r="E108" s="57"/>
      <c r="F108" s="57"/>
      <c r="G108" s="57"/>
      <c r="H108" s="57"/>
      <c r="I108" s="58">
        <f>IF(Source!F69=0, "", Source!F69)</f>
        <v>11977.49</v>
      </c>
      <c r="J108" s="58"/>
    </row>
    <row r="109" spans="1:32" ht="14.25" x14ac:dyDescent="0.2">
      <c r="C109" s="57" t="str">
        <f>Source!H70</f>
        <v>Всего</v>
      </c>
      <c r="D109" s="57"/>
      <c r="E109" s="57"/>
      <c r="F109" s="57"/>
      <c r="G109" s="57"/>
      <c r="H109" s="57"/>
      <c r="I109" s="58">
        <f>IF(Source!F70=0, "", Source!F70)</f>
        <v>71864.94</v>
      </c>
      <c r="J109" s="58"/>
    </row>
    <row r="111" spans="1:32" ht="16.5" x14ac:dyDescent="0.25">
      <c r="A111" s="62" t="str">
        <f>CONCATENATE("Раздел: ",IF(Source!G72&lt;&gt;"Новый раздел", Source!G72, ""))</f>
        <v xml:space="preserve">Раздел: Раздел 10.1 . Устройство новых оснований площадок (детские, спортивные, воркаут) АБП 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AE111" s="20" t="str">
        <f>CONCATENATE("Раздел: ",IF(Source!G72&lt;&gt;"Новый раздел", Source!G72, ""))</f>
        <v xml:space="preserve">Раздел: Раздел 10.1 . Устройство новых оснований площадок (детские, спортивные, воркаут) АБП </v>
      </c>
    </row>
    <row r="112" spans="1:32" ht="57" x14ac:dyDescent="0.2">
      <c r="A112" s="21" t="str">
        <f>Source!E76</f>
        <v>10</v>
      </c>
      <c r="B112" s="22" t="str">
        <f>Source!F76</f>
        <v>2.49-3101-3-3/1</v>
      </c>
      <c r="C112" s="22" t="str">
        <f>Source!G76</f>
        <v>Разработка грунта с погрузкой на автомобили-самосвалы экскаваторами с ковшом вместимостью 0,5 м3, группа грунтов 1-3</v>
      </c>
      <c r="D112" s="23" t="str">
        <f>Source!H76</f>
        <v>100 м3</v>
      </c>
      <c r="E112" s="9">
        <f>Source!I76</f>
        <v>12.186719999999999</v>
      </c>
      <c r="F112" s="25"/>
      <c r="G112" s="24"/>
      <c r="H112" s="9"/>
      <c r="I112" s="9"/>
      <c r="J112" s="26"/>
      <c r="K112" s="26"/>
      <c r="Q112">
        <f>ROUND((Source!BZ76/100)*ROUND((Source!AF76*Source!AV76)*Source!I76, 2), 2)</f>
        <v>2451.5500000000002</v>
      </c>
      <c r="R112">
        <f>Source!X76</f>
        <v>2451.5500000000002</v>
      </c>
      <c r="S112">
        <f>ROUND((Source!CA76/100)*ROUND((Source!AF76*Source!AV76)*Source!I76, 2), 2)</f>
        <v>350.22</v>
      </c>
      <c r="T112">
        <f>Source!Y76</f>
        <v>350.22</v>
      </c>
      <c r="U112">
        <f>ROUND((175/100)*ROUND((Source!AE76*Source!AV76)*Source!I76, 2), 2)</f>
        <v>73233.53</v>
      </c>
      <c r="V112">
        <f>ROUND((108/100)*ROUND(Source!CS76*Source!I76, 2), 2)</f>
        <v>45195.55</v>
      </c>
    </row>
    <row r="113" spans="1:22" x14ac:dyDescent="0.2">
      <c r="C113" s="27" t="str">
        <f>"Объем: "&amp;Source!I76&amp;"=(3224*"&amp;"0,42*"&amp;"0,9)/"&amp;"100"</f>
        <v>Объем: 12,18672=(3224*0,42*0,9)/100</v>
      </c>
    </row>
    <row r="114" spans="1:22" ht="14.25" x14ac:dyDescent="0.2">
      <c r="A114" s="21"/>
      <c r="B114" s="22"/>
      <c r="C114" s="22" t="s">
        <v>452</v>
      </c>
      <c r="D114" s="23"/>
      <c r="E114" s="9"/>
      <c r="F114" s="25">
        <f>Source!AO76</f>
        <v>287.38</v>
      </c>
      <c r="G114" s="24" t="str">
        <f>Source!DG76</f>
        <v/>
      </c>
      <c r="H114" s="9">
        <f>Source!AV76</f>
        <v>1</v>
      </c>
      <c r="I114" s="9">
        <f>IF(Source!BA76&lt;&gt; 0, Source!BA76, 1)</f>
        <v>1</v>
      </c>
      <c r="J114" s="26">
        <f>Source!S76</f>
        <v>3502.22</v>
      </c>
      <c r="K114" s="26"/>
    </row>
    <row r="115" spans="1:22" ht="14.25" x14ac:dyDescent="0.2">
      <c r="A115" s="21"/>
      <c r="B115" s="22"/>
      <c r="C115" s="22" t="s">
        <v>453</v>
      </c>
      <c r="D115" s="23"/>
      <c r="E115" s="9"/>
      <c r="F115" s="25">
        <f>Source!AM76</f>
        <v>8779.01</v>
      </c>
      <c r="G115" s="24" t="str">
        <f>Source!DE76</f>
        <v/>
      </c>
      <c r="H115" s="9">
        <f>Source!AV76</f>
        <v>1</v>
      </c>
      <c r="I115" s="9">
        <f>IF(Source!BB76&lt;&gt; 0, Source!BB76, 1)</f>
        <v>1</v>
      </c>
      <c r="J115" s="26">
        <f>Source!Q76</f>
        <v>106987.34</v>
      </c>
      <c r="K115" s="26"/>
    </row>
    <row r="116" spans="1:22" ht="14.25" x14ac:dyDescent="0.2">
      <c r="A116" s="21"/>
      <c r="B116" s="22"/>
      <c r="C116" s="22" t="s">
        <v>454</v>
      </c>
      <c r="D116" s="23"/>
      <c r="E116" s="9"/>
      <c r="F116" s="25">
        <f>Source!AN76</f>
        <v>3433.88</v>
      </c>
      <c r="G116" s="24" t="str">
        <f>Source!DF76</f>
        <v/>
      </c>
      <c r="H116" s="9">
        <f>Source!AV76</f>
        <v>1</v>
      </c>
      <c r="I116" s="9">
        <f>IF(Source!BS76&lt;&gt; 0, Source!BS76, 1)</f>
        <v>1</v>
      </c>
      <c r="J116" s="28">
        <f>Source!R76</f>
        <v>41847.730000000003</v>
      </c>
      <c r="K116" s="26"/>
    </row>
    <row r="117" spans="1:22" ht="14.25" x14ac:dyDescent="0.2">
      <c r="A117" s="21"/>
      <c r="B117" s="22"/>
      <c r="C117" s="22" t="s">
        <v>455</v>
      </c>
      <c r="D117" s="23" t="s">
        <v>456</v>
      </c>
      <c r="E117" s="9">
        <f>Source!AT76</f>
        <v>70</v>
      </c>
      <c r="F117" s="25"/>
      <c r="G117" s="24"/>
      <c r="H117" s="9"/>
      <c r="I117" s="9"/>
      <c r="J117" s="26">
        <f>SUM(R112:R116)</f>
        <v>2451.5500000000002</v>
      </c>
      <c r="K117" s="26"/>
    </row>
    <row r="118" spans="1:22" ht="14.25" x14ac:dyDescent="0.2">
      <c r="A118" s="21"/>
      <c r="B118" s="22"/>
      <c r="C118" s="22" t="s">
        <v>457</v>
      </c>
      <c r="D118" s="23" t="s">
        <v>456</v>
      </c>
      <c r="E118" s="9">
        <f>Source!AU76</f>
        <v>10</v>
      </c>
      <c r="F118" s="25"/>
      <c r="G118" s="24"/>
      <c r="H118" s="9"/>
      <c r="I118" s="9"/>
      <c r="J118" s="26">
        <f>SUM(T112:T117)</f>
        <v>350.22</v>
      </c>
      <c r="K118" s="26"/>
    </row>
    <row r="119" spans="1:22" ht="14.25" x14ac:dyDescent="0.2">
      <c r="A119" s="21"/>
      <c r="B119" s="22"/>
      <c r="C119" s="22" t="s">
        <v>458</v>
      </c>
      <c r="D119" s="23" t="s">
        <v>456</v>
      </c>
      <c r="E119" s="9">
        <f>108</f>
        <v>108</v>
      </c>
      <c r="F119" s="25"/>
      <c r="G119" s="24"/>
      <c r="H119" s="9"/>
      <c r="I119" s="9"/>
      <c r="J119" s="26">
        <f>SUM(V112:V118)</f>
        <v>45195.55</v>
      </c>
      <c r="K119" s="26"/>
    </row>
    <row r="120" spans="1:22" ht="14.25" x14ac:dyDescent="0.2">
      <c r="A120" s="21"/>
      <c r="B120" s="22"/>
      <c r="C120" s="22" t="s">
        <v>459</v>
      </c>
      <c r="D120" s="23" t="s">
        <v>460</v>
      </c>
      <c r="E120" s="9">
        <f>Source!AQ76</f>
        <v>1.59</v>
      </c>
      <c r="F120" s="25"/>
      <c r="G120" s="24" t="str">
        <f>Source!DI76</f>
        <v/>
      </c>
      <c r="H120" s="9">
        <f>Source!AV76</f>
        <v>1</v>
      </c>
      <c r="I120" s="9"/>
      <c r="J120" s="26"/>
      <c r="K120" s="26">
        <f>Source!U76</f>
        <v>19.376884799999999</v>
      </c>
    </row>
    <row r="121" spans="1:22" ht="15" x14ac:dyDescent="0.25">
      <c r="A121" s="31"/>
      <c r="B121" s="31"/>
      <c r="C121" s="31"/>
      <c r="D121" s="31"/>
      <c r="E121" s="31"/>
      <c r="F121" s="31"/>
      <c r="G121" s="31"/>
      <c r="H121" s="31"/>
      <c r="I121" s="63">
        <f>J114+J115+J117+J118+J119</f>
        <v>158486.88</v>
      </c>
      <c r="J121" s="63"/>
      <c r="K121" s="32">
        <f>IF(Source!I76&lt;&gt;0, ROUND(I121/Source!I76, 2), 0)</f>
        <v>13004.88</v>
      </c>
      <c r="P121" s="29">
        <f>I121</f>
        <v>158486.88</v>
      </c>
    </row>
    <row r="122" spans="1:22" ht="42.75" x14ac:dyDescent="0.2">
      <c r="A122" s="21" t="str">
        <f>Source!E77</f>
        <v>11</v>
      </c>
      <c r="B122" s="22" t="str">
        <f>Source!F77</f>
        <v>1.1-3303-2-1/1</v>
      </c>
      <c r="C122" s="22" t="str">
        <f>Source!G77</f>
        <v>Разработка грунта вручную в траншеях глубиной до 2 м без креплений с откосами группа грунтов 1-3</v>
      </c>
      <c r="D122" s="23" t="str">
        <f>Source!H77</f>
        <v>100 м3</v>
      </c>
      <c r="E122" s="9">
        <f>Source!I77</f>
        <v>1.35408</v>
      </c>
      <c r="F122" s="25"/>
      <c r="G122" s="24"/>
      <c r="H122" s="9"/>
      <c r="I122" s="9"/>
      <c r="J122" s="26"/>
      <c r="K122" s="26"/>
      <c r="Q122">
        <f>ROUND((Source!BZ77/100)*ROUND((Source!AF77*Source!AV77)*Source!I77, 2), 2)</f>
        <v>39763.61</v>
      </c>
      <c r="R122">
        <f>Source!X77</f>
        <v>39763.61</v>
      </c>
      <c r="S122">
        <f>ROUND((Source!CA77/100)*ROUND((Source!AF77*Source!AV77)*Source!I77, 2), 2)</f>
        <v>5680.52</v>
      </c>
      <c r="T122">
        <f>Source!Y77</f>
        <v>5680.52</v>
      </c>
      <c r="U122">
        <f>ROUND((175/100)*ROUND((Source!AE77*Source!AV77)*Source!I77, 2), 2)</f>
        <v>0</v>
      </c>
      <c r="V122">
        <f>ROUND((108/100)*ROUND(Source!CS77*Source!I77, 2), 2)</f>
        <v>0</v>
      </c>
    </row>
    <row r="123" spans="1:22" x14ac:dyDescent="0.2">
      <c r="C123" s="27" t="str">
        <f>"Объем: "&amp;Source!I77&amp;"=(3224*"&amp;"0,42*"&amp;"0,1)/"&amp;"100"</f>
        <v>Объем: 1,35408=(3224*0,42*0,1)/100</v>
      </c>
    </row>
    <row r="124" spans="1:22" ht="14.25" x14ac:dyDescent="0.2">
      <c r="A124" s="21"/>
      <c r="B124" s="22"/>
      <c r="C124" s="22" t="s">
        <v>452</v>
      </c>
      <c r="D124" s="23"/>
      <c r="E124" s="9"/>
      <c r="F124" s="25">
        <f>Source!AO77</f>
        <v>41951.1</v>
      </c>
      <c r="G124" s="24" t="str">
        <f>Source!DG77</f>
        <v/>
      </c>
      <c r="H124" s="9">
        <f>Source!AV77</f>
        <v>1</v>
      </c>
      <c r="I124" s="9">
        <f>IF(Source!BA77&lt;&gt; 0, Source!BA77, 1)</f>
        <v>1</v>
      </c>
      <c r="J124" s="26">
        <f>Source!S77</f>
        <v>56805.15</v>
      </c>
      <c r="K124" s="26"/>
    </row>
    <row r="125" spans="1:22" ht="14.25" x14ac:dyDescent="0.2">
      <c r="A125" s="21"/>
      <c r="B125" s="22"/>
      <c r="C125" s="22" t="s">
        <v>455</v>
      </c>
      <c r="D125" s="23" t="s">
        <v>456</v>
      </c>
      <c r="E125" s="9">
        <f>Source!AT77</f>
        <v>70</v>
      </c>
      <c r="F125" s="25"/>
      <c r="G125" s="24"/>
      <c r="H125" s="9"/>
      <c r="I125" s="9"/>
      <c r="J125" s="26">
        <f>SUM(R122:R124)</f>
        <v>39763.61</v>
      </c>
      <c r="K125" s="26"/>
    </row>
    <row r="126" spans="1:22" ht="14.25" x14ac:dyDescent="0.2">
      <c r="A126" s="21"/>
      <c r="B126" s="22"/>
      <c r="C126" s="22" t="s">
        <v>457</v>
      </c>
      <c r="D126" s="23" t="s">
        <v>456</v>
      </c>
      <c r="E126" s="9">
        <f>Source!AU77</f>
        <v>10</v>
      </c>
      <c r="F126" s="25"/>
      <c r="G126" s="24"/>
      <c r="H126" s="9"/>
      <c r="I126" s="9"/>
      <c r="J126" s="26">
        <f>SUM(T122:T125)</f>
        <v>5680.52</v>
      </c>
      <c r="K126" s="26"/>
    </row>
    <row r="127" spans="1:22" ht="14.25" x14ac:dyDescent="0.2">
      <c r="A127" s="21"/>
      <c r="B127" s="22"/>
      <c r="C127" s="22" t="s">
        <v>459</v>
      </c>
      <c r="D127" s="23" t="s">
        <v>460</v>
      </c>
      <c r="E127" s="9">
        <f>Source!AQ77</f>
        <v>221.6</v>
      </c>
      <c r="F127" s="25"/>
      <c r="G127" s="24" t="str">
        <f>Source!DI77</f>
        <v/>
      </c>
      <c r="H127" s="9">
        <f>Source!AV77</f>
        <v>1</v>
      </c>
      <c r="I127" s="9"/>
      <c r="J127" s="26"/>
      <c r="K127" s="26">
        <f>Source!U77</f>
        <v>300.06412799999998</v>
      </c>
    </row>
    <row r="128" spans="1:22" ht="15" x14ac:dyDescent="0.25">
      <c r="A128" s="31"/>
      <c r="B128" s="31"/>
      <c r="C128" s="31"/>
      <c r="D128" s="31"/>
      <c r="E128" s="31"/>
      <c r="F128" s="31"/>
      <c r="G128" s="31"/>
      <c r="H128" s="31"/>
      <c r="I128" s="63">
        <f>J124+J125+J126</f>
        <v>102249.28000000001</v>
      </c>
      <c r="J128" s="63"/>
      <c r="K128" s="32">
        <f>IF(Source!I77&lt;&gt;0, ROUND(I128/Source!I77, 2), 0)</f>
        <v>75511.990000000005</v>
      </c>
      <c r="P128" s="29">
        <f>I128</f>
        <v>102249.28000000001</v>
      </c>
    </row>
    <row r="129" spans="1:22" ht="28.5" x14ac:dyDescent="0.2">
      <c r="A129" s="21" t="str">
        <f>Source!E78</f>
        <v>12</v>
      </c>
      <c r="B129" s="22" t="str">
        <f>Source!F78</f>
        <v>1.1-3101-6-1/1</v>
      </c>
      <c r="C129" s="22" t="str">
        <f>Source!G78</f>
        <v>Погрузка грунта вручную в автомобили-самосвалы с выгрузкой</v>
      </c>
      <c r="D129" s="23" t="str">
        <f>Source!H78</f>
        <v>100 м3</v>
      </c>
      <c r="E129" s="9">
        <f>Source!I78</f>
        <v>0.135408</v>
      </c>
      <c r="F129" s="25"/>
      <c r="G129" s="24"/>
      <c r="H129" s="9"/>
      <c r="I129" s="9"/>
      <c r="J129" s="26"/>
      <c r="K129" s="26"/>
      <c r="Q129">
        <f>ROUND((Source!BZ78/100)*ROUND((Source!AF78*Source!AV78)*Source!I78, 2), 2)</f>
        <v>1054.99</v>
      </c>
      <c r="R129">
        <f>Source!X78</f>
        <v>1054.99</v>
      </c>
      <c r="S129">
        <f>ROUND((Source!CA78/100)*ROUND((Source!AF78*Source!AV78)*Source!I78, 2), 2)</f>
        <v>150.71</v>
      </c>
      <c r="T129">
        <f>Source!Y78</f>
        <v>150.71</v>
      </c>
      <c r="U129">
        <f>ROUND((175/100)*ROUND((Source!AE78*Source!AV78)*Source!I78, 2), 2)</f>
        <v>0</v>
      </c>
      <c r="V129">
        <f>ROUND((108/100)*ROUND(Source!CS78*Source!I78, 2), 2)</f>
        <v>0</v>
      </c>
    </row>
    <row r="130" spans="1:22" x14ac:dyDescent="0.2">
      <c r="C130" s="27" t="str">
        <f>"Объем: "&amp;Source!I78&amp;"=(3224*"&amp;"0,42*"&amp;"0,1*"&amp;"0,1)/"&amp;"100"</f>
        <v>Объем: 0,135408=(3224*0,42*0,1*0,1)/100</v>
      </c>
    </row>
    <row r="131" spans="1:22" ht="14.25" x14ac:dyDescent="0.2">
      <c r="A131" s="21"/>
      <c r="B131" s="22"/>
      <c r="C131" s="22" t="s">
        <v>452</v>
      </c>
      <c r="D131" s="23"/>
      <c r="E131" s="9"/>
      <c r="F131" s="25">
        <f>Source!AO78</f>
        <v>11130.3</v>
      </c>
      <c r="G131" s="24" t="str">
        <f>Source!DG78</f>
        <v/>
      </c>
      <c r="H131" s="9">
        <f>Source!AV78</f>
        <v>1</v>
      </c>
      <c r="I131" s="9">
        <f>IF(Source!BA78&lt;&gt; 0, Source!BA78, 1)</f>
        <v>1</v>
      </c>
      <c r="J131" s="26">
        <f>Source!S78</f>
        <v>1507.13</v>
      </c>
      <c r="K131" s="26"/>
    </row>
    <row r="132" spans="1:22" ht="14.25" x14ac:dyDescent="0.2">
      <c r="A132" s="21"/>
      <c r="B132" s="22"/>
      <c r="C132" s="22" t="s">
        <v>455</v>
      </c>
      <c r="D132" s="23" t="s">
        <v>456</v>
      </c>
      <c r="E132" s="9">
        <f>Source!AT78</f>
        <v>70</v>
      </c>
      <c r="F132" s="25"/>
      <c r="G132" s="24"/>
      <c r="H132" s="9"/>
      <c r="I132" s="9"/>
      <c r="J132" s="26">
        <f>SUM(R129:R131)</f>
        <v>1054.99</v>
      </c>
      <c r="K132" s="26"/>
    </row>
    <row r="133" spans="1:22" ht="14.25" x14ac:dyDescent="0.2">
      <c r="A133" s="21"/>
      <c r="B133" s="22"/>
      <c r="C133" s="22" t="s">
        <v>457</v>
      </c>
      <c r="D133" s="23" t="s">
        <v>456</v>
      </c>
      <c r="E133" s="9">
        <f>Source!AU78</f>
        <v>10</v>
      </c>
      <c r="F133" s="25"/>
      <c r="G133" s="24"/>
      <c r="H133" s="9"/>
      <c r="I133" s="9"/>
      <c r="J133" s="26">
        <f>SUM(T129:T132)</f>
        <v>150.71</v>
      </c>
      <c r="K133" s="26"/>
    </row>
    <row r="134" spans="1:22" ht="14.25" x14ac:dyDescent="0.2">
      <c r="A134" s="21"/>
      <c r="B134" s="22"/>
      <c r="C134" s="22" t="s">
        <v>459</v>
      </c>
      <c r="D134" s="23" t="s">
        <v>460</v>
      </c>
      <c r="E134" s="9">
        <f>Source!AQ78</f>
        <v>83</v>
      </c>
      <c r="F134" s="25"/>
      <c r="G134" s="24" t="str">
        <f>Source!DI78</f>
        <v/>
      </c>
      <c r="H134" s="9">
        <f>Source!AV78</f>
        <v>1</v>
      </c>
      <c r="I134" s="9"/>
      <c r="J134" s="26"/>
      <c r="K134" s="26">
        <f>Source!U78</f>
        <v>11.238864</v>
      </c>
    </row>
    <row r="135" spans="1:22" ht="15" x14ac:dyDescent="0.25">
      <c r="A135" s="31"/>
      <c r="B135" s="31"/>
      <c r="C135" s="31"/>
      <c r="D135" s="31"/>
      <c r="E135" s="31"/>
      <c r="F135" s="31"/>
      <c r="G135" s="31"/>
      <c r="H135" s="31"/>
      <c r="I135" s="63">
        <f>J131+J132+J133</f>
        <v>2712.83</v>
      </c>
      <c r="J135" s="63"/>
      <c r="K135" s="32">
        <f>IF(Source!I78&lt;&gt;0, ROUND(I135/Source!I78, 2), 0)</f>
        <v>20034.490000000002</v>
      </c>
      <c r="P135" s="29">
        <f>I135</f>
        <v>2712.83</v>
      </c>
    </row>
    <row r="136" spans="1:22" ht="42.75" x14ac:dyDescent="0.2">
      <c r="A136" s="21" t="str">
        <f>Source!E79</f>
        <v>13</v>
      </c>
      <c r="B136" s="22" t="str">
        <f>Source!F79</f>
        <v>2.49-3401-1-1/1</v>
      </c>
      <c r="C136" s="22" t="str">
        <f>Source!G79</f>
        <v>Перевозка грунта автосамосвалами грузоподъемностью до 10 т на расстояние 1 км</v>
      </c>
      <c r="D136" s="23" t="str">
        <f>Source!H79</f>
        <v>м3</v>
      </c>
      <c r="E136" s="9">
        <f>Source!I79</f>
        <v>1354.08</v>
      </c>
      <c r="F136" s="25"/>
      <c r="G136" s="24"/>
      <c r="H136" s="9"/>
      <c r="I136" s="9"/>
      <c r="J136" s="26"/>
      <c r="K136" s="26"/>
      <c r="Q136">
        <f>ROUND((Source!BZ79/100)*ROUND((Source!AF79*Source!AV79)*Source!I79, 2), 2)</f>
        <v>0</v>
      </c>
      <c r="R136">
        <f>Source!X79</f>
        <v>0</v>
      </c>
      <c r="S136">
        <f>ROUND((Source!CA79/100)*ROUND((Source!AF79*Source!AV79)*Source!I79, 2), 2)</f>
        <v>0</v>
      </c>
      <c r="T136">
        <f>Source!Y79</f>
        <v>0</v>
      </c>
      <c r="U136">
        <f>ROUND((175/100)*ROUND((Source!AE79*Source!AV79)*Source!I79, 2), 2)</f>
        <v>60804.959999999999</v>
      </c>
      <c r="V136">
        <f>ROUND((108/100)*ROUND(Source!CS79*Source!I79, 2), 2)</f>
        <v>37525.35</v>
      </c>
    </row>
    <row r="137" spans="1:22" x14ac:dyDescent="0.2">
      <c r="C137" s="27" t="str">
        <f>"Объем: "&amp;Source!I79&amp;"=3224*"&amp;"0,42"</f>
        <v>Объем: 1354,08=3224*0,42</v>
      </c>
    </row>
    <row r="138" spans="1:22" ht="14.25" x14ac:dyDescent="0.2">
      <c r="A138" s="21"/>
      <c r="B138" s="22"/>
      <c r="C138" s="22" t="s">
        <v>453</v>
      </c>
      <c r="D138" s="23"/>
      <c r="E138" s="9"/>
      <c r="F138" s="25">
        <f>Source!AM79</f>
        <v>47.27</v>
      </c>
      <c r="G138" s="24" t="str">
        <f>Source!DE79</f>
        <v/>
      </c>
      <c r="H138" s="9">
        <f>Source!AV79</f>
        <v>1</v>
      </c>
      <c r="I138" s="9">
        <f>IF(Source!BB79&lt;&gt; 0, Source!BB79, 1)</f>
        <v>1</v>
      </c>
      <c r="J138" s="26">
        <f>Source!Q79</f>
        <v>64007.360000000001</v>
      </c>
      <c r="K138" s="26"/>
    </row>
    <row r="139" spans="1:22" ht="14.25" x14ac:dyDescent="0.2">
      <c r="A139" s="21"/>
      <c r="B139" s="22"/>
      <c r="C139" s="22" t="s">
        <v>454</v>
      </c>
      <c r="D139" s="23"/>
      <c r="E139" s="9"/>
      <c r="F139" s="25">
        <f>Source!AN79</f>
        <v>25.66</v>
      </c>
      <c r="G139" s="24" t="str">
        <f>Source!DF79</f>
        <v/>
      </c>
      <c r="H139" s="9">
        <f>Source!AV79</f>
        <v>1</v>
      </c>
      <c r="I139" s="9">
        <f>IF(Source!BS79&lt;&gt; 0, Source!BS79, 1)</f>
        <v>1</v>
      </c>
      <c r="J139" s="28">
        <f>Source!R79</f>
        <v>34745.69</v>
      </c>
      <c r="K139" s="26"/>
    </row>
    <row r="140" spans="1:22" ht="15" x14ac:dyDescent="0.25">
      <c r="A140" s="31"/>
      <c r="B140" s="31"/>
      <c r="C140" s="31"/>
      <c r="D140" s="31"/>
      <c r="E140" s="31"/>
      <c r="F140" s="31"/>
      <c r="G140" s="31"/>
      <c r="H140" s="31"/>
      <c r="I140" s="63">
        <f>J138</f>
        <v>64007.360000000001</v>
      </c>
      <c r="J140" s="63"/>
      <c r="K140" s="32">
        <f>IF(Source!I79&lt;&gt;0, ROUND(I140/Source!I79, 2), 0)</f>
        <v>47.27</v>
      </c>
      <c r="P140" s="29">
        <f>I140</f>
        <v>64007.360000000001</v>
      </c>
    </row>
    <row r="141" spans="1:22" ht="57" x14ac:dyDescent="0.2">
      <c r="A141" s="21" t="str">
        <f>Source!E80</f>
        <v>14</v>
      </c>
      <c r="B141" s="22" t="str">
        <f>Source!F80</f>
        <v>2.49-3401-1-2/1</v>
      </c>
      <c r="C141" s="22" t="str">
        <f>Source!G80</f>
        <v>Перевозка грунта автосамосвалами грузоподъемностью до 10 т - добавляется на каждый последующий 1 км до 100 км (к поз. 49-3401-1-1)</v>
      </c>
      <c r="D141" s="23" t="str">
        <f>Source!H80</f>
        <v>м3</v>
      </c>
      <c r="E141" s="9">
        <f>Source!I80</f>
        <v>1354.08</v>
      </c>
      <c r="F141" s="25"/>
      <c r="G141" s="24"/>
      <c r="H141" s="9"/>
      <c r="I141" s="9"/>
      <c r="J141" s="26"/>
      <c r="K141" s="26"/>
      <c r="Q141">
        <f>ROUND((Source!BZ80/100)*ROUND((Source!AF80*Source!AV80)*Source!I80, 2), 2)</f>
        <v>0</v>
      </c>
      <c r="R141">
        <f>Source!X80</f>
        <v>0</v>
      </c>
      <c r="S141">
        <f>ROUND((Source!CA80/100)*ROUND((Source!AF80*Source!AV80)*Source!I80, 2), 2)</f>
        <v>0</v>
      </c>
      <c r="T141">
        <f>Source!Y80</f>
        <v>0</v>
      </c>
      <c r="U141">
        <f>ROUND((175/100)*ROUND((Source!AE80*Source!AV80)*Source!I80, 2), 2)</f>
        <v>1059513.44</v>
      </c>
      <c r="V141">
        <f>ROUND((108/100)*ROUND(Source!CS80*Source!I80, 2), 2)</f>
        <v>653871.15</v>
      </c>
    </row>
    <row r="142" spans="1:22" ht="14.25" x14ac:dyDescent="0.2">
      <c r="A142" s="21"/>
      <c r="B142" s="22"/>
      <c r="C142" s="22" t="s">
        <v>453</v>
      </c>
      <c r="D142" s="23"/>
      <c r="E142" s="9"/>
      <c r="F142" s="25">
        <f>Source!AM80</f>
        <v>15.25</v>
      </c>
      <c r="G142" s="24" t="str">
        <f>Source!DE80</f>
        <v>*54</v>
      </c>
      <c r="H142" s="9">
        <f>Source!AV80</f>
        <v>1</v>
      </c>
      <c r="I142" s="9">
        <f>IF(Source!BB80&lt;&gt; 0, Source!BB80, 1)</f>
        <v>1</v>
      </c>
      <c r="J142" s="26">
        <f>Source!Q80</f>
        <v>1115084.8799999999</v>
      </c>
      <c r="K142" s="26"/>
    </row>
    <row r="143" spans="1:22" ht="14.25" x14ac:dyDescent="0.2">
      <c r="A143" s="21"/>
      <c r="B143" s="22"/>
      <c r="C143" s="22" t="s">
        <v>454</v>
      </c>
      <c r="D143" s="23"/>
      <c r="E143" s="9"/>
      <c r="F143" s="25">
        <f>Source!AN80</f>
        <v>8.2799999999999994</v>
      </c>
      <c r="G143" s="24" t="str">
        <f>Source!DF80</f>
        <v>*54</v>
      </c>
      <c r="H143" s="9">
        <f>Source!AV80</f>
        <v>1</v>
      </c>
      <c r="I143" s="9">
        <f>IF(Source!BS80&lt;&gt; 0, Source!BS80, 1)</f>
        <v>1</v>
      </c>
      <c r="J143" s="28">
        <f>Source!R80</f>
        <v>605436.25</v>
      </c>
      <c r="K143" s="26"/>
    </row>
    <row r="144" spans="1:22" ht="15" x14ac:dyDescent="0.25">
      <c r="A144" s="31"/>
      <c r="B144" s="31"/>
      <c r="C144" s="31"/>
      <c r="D144" s="31"/>
      <c r="E144" s="31"/>
      <c r="F144" s="31"/>
      <c r="G144" s="31"/>
      <c r="H144" s="31"/>
      <c r="I144" s="63">
        <f>J142</f>
        <v>1115084.8799999999</v>
      </c>
      <c r="J144" s="63"/>
      <c r="K144" s="32">
        <f>IF(Source!I80&lt;&gt;0, ROUND(I144/Source!I80, 2), 0)</f>
        <v>823.5</v>
      </c>
      <c r="P144" s="29">
        <f>I144</f>
        <v>1115084.8799999999</v>
      </c>
    </row>
    <row r="145" spans="1:22" ht="85.5" x14ac:dyDescent="0.2">
      <c r="A145" s="21" t="str">
        <f>Source!E81</f>
        <v>15</v>
      </c>
      <c r="B145" s="22" t="str">
        <f>Source!F81</f>
        <v>Коммерческое предложение</v>
      </c>
      <c r="C145" s="22" t="str">
        <f>Source!G81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D145" s="23" t="str">
        <f>Source!H81</f>
        <v/>
      </c>
      <c r="E145" s="9">
        <f>Source!I81</f>
        <v>1895.712</v>
      </c>
      <c r="F145" s="25">
        <f>Source!AL81</f>
        <v>100.3</v>
      </c>
      <c r="G145" s="24" t="str">
        <f>Source!DD81</f>
        <v/>
      </c>
      <c r="H145" s="9">
        <f>Source!AW81</f>
        <v>1</v>
      </c>
      <c r="I145" s="9">
        <f>IF(Source!BC81&lt;&gt; 0, Source!BC81, 1)</f>
        <v>1</v>
      </c>
      <c r="J145" s="26">
        <f>Source!P81</f>
        <v>190139.91</v>
      </c>
      <c r="K145" s="26"/>
      <c r="Q145">
        <f>ROUND((Source!BZ81/100)*ROUND((Source!AF81*Source!AV81)*Source!I81, 2), 2)</f>
        <v>0</v>
      </c>
      <c r="R145">
        <f>Source!X81</f>
        <v>0</v>
      </c>
      <c r="S145">
        <f>ROUND((Source!CA81/100)*ROUND((Source!AF81*Source!AV81)*Source!I81, 2), 2)</f>
        <v>0</v>
      </c>
      <c r="T145">
        <f>Source!Y81</f>
        <v>0</v>
      </c>
      <c r="U145">
        <f>ROUND((175/100)*ROUND((Source!AE81*Source!AV81)*Source!I81, 2), 2)</f>
        <v>0</v>
      </c>
      <c r="V145">
        <f>ROUND((108/100)*ROUND(Source!CS81*Source!I81, 2), 2)</f>
        <v>0</v>
      </c>
    </row>
    <row r="146" spans="1:22" x14ac:dyDescent="0.2">
      <c r="C146" s="27" t="str">
        <f>"Объем: "&amp;Source!I81&amp;"="&amp;Source!I79&amp;"*"&amp;"1,4"</f>
        <v>Объем: 1895,712=1354,08*1,4</v>
      </c>
    </row>
    <row r="147" spans="1:22" ht="15" x14ac:dyDescent="0.25">
      <c r="A147" s="31"/>
      <c r="B147" s="31"/>
      <c r="C147" s="31"/>
      <c r="D147" s="31"/>
      <c r="E147" s="31"/>
      <c r="F147" s="31"/>
      <c r="G147" s="31"/>
      <c r="H147" s="31"/>
      <c r="I147" s="63">
        <f>J145</f>
        <v>190139.91</v>
      </c>
      <c r="J147" s="63"/>
      <c r="K147" s="32">
        <f>IF(Source!I81&lt;&gt;0, ROUND(I147/Source!I81, 2), 0)</f>
        <v>100.3</v>
      </c>
      <c r="P147" s="29">
        <f>I147</f>
        <v>190139.91</v>
      </c>
    </row>
    <row r="148" spans="1:22" ht="28.5" x14ac:dyDescent="0.2">
      <c r="A148" s="21" t="str">
        <f>Source!E82</f>
        <v>16</v>
      </c>
      <c r="B148" s="22" t="str">
        <f>Source!F82</f>
        <v>2.1-3303-1-1/1</v>
      </c>
      <c r="C148" s="22" t="str">
        <f>Source!G82</f>
        <v>Устройство подстилающих и выравнивающих слоев оснований из песка</v>
      </c>
      <c r="D148" s="23" t="str">
        <f>Source!H82</f>
        <v>100 м3</v>
      </c>
      <c r="E148" s="9">
        <f>Source!I82</f>
        <v>6.4480000000000004</v>
      </c>
      <c r="F148" s="25"/>
      <c r="G148" s="24"/>
      <c r="H148" s="9"/>
      <c r="I148" s="9"/>
      <c r="J148" s="26"/>
      <c r="K148" s="26"/>
      <c r="Q148">
        <f>ROUND((Source!BZ82/100)*ROUND((Source!AF82*Source!AV82)*Source!I82, 2), 2)</f>
        <v>13990.08</v>
      </c>
      <c r="R148">
        <f>Source!X82</f>
        <v>13990.08</v>
      </c>
      <c r="S148">
        <f>ROUND((Source!CA82/100)*ROUND((Source!AF82*Source!AV82)*Source!I82, 2), 2)</f>
        <v>1998.58</v>
      </c>
      <c r="T148">
        <f>Source!Y82</f>
        <v>1998.58</v>
      </c>
      <c r="U148">
        <f>ROUND((175/100)*ROUND((Source!AE82*Source!AV82)*Source!I82, 2), 2)</f>
        <v>36368.120000000003</v>
      </c>
      <c r="V148">
        <f>ROUND((108/100)*ROUND(Source!CS82*Source!I82, 2), 2)</f>
        <v>22444.32</v>
      </c>
    </row>
    <row r="149" spans="1:22" x14ac:dyDescent="0.2">
      <c r="C149" s="27" t="str">
        <f>"Объем: "&amp;Source!I82&amp;"=(3224*"&amp;"0,2)/"&amp;"100"</f>
        <v>Объем: 6,448=(3224*0,2)/100</v>
      </c>
    </row>
    <row r="150" spans="1:22" ht="14.25" x14ac:dyDescent="0.2">
      <c r="A150" s="21"/>
      <c r="B150" s="22"/>
      <c r="C150" s="22" t="s">
        <v>452</v>
      </c>
      <c r="D150" s="23"/>
      <c r="E150" s="9"/>
      <c r="F150" s="25">
        <f>Source!AO82</f>
        <v>3099.54</v>
      </c>
      <c r="G150" s="24" t="str">
        <f>Source!DG82</f>
        <v/>
      </c>
      <c r="H150" s="9">
        <f>Source!AV82</f>
        <v>1</v>
      </c>
      <c r="I150" s="9">
        <f>IF(Source!BA82&lt;&gt; 0, Source!BA82, 1)</f>
        <v>1</v>
      </c>
      <c r="J150" s="26">
        <f>Source!S82</f>
        <v>19985.830000000002</v>
      </c>
      <c r="K150" s="26"/>
    </row>
    <row r="151" spans="1:22" ht="14.25" x14ac:dyDescent="0.2">
      <c r="A151" s="21"/>
      <c r="B151" s="22"/>
      <c r="C151" s="22" t="s">
        <v>453</v>
      </c>
      <c r="D151" s="23"/>
      <c r="E151" s="9"/>
      <c r="F151" s="25">
        <f>Source!AM82</f>
        <v>7602.23</v>
      </c>
      <c r="G151" s="24" t="str">
        <f>Source!DE82</f>
        <v/>
      </c>
      <c r="H151" s="9">
        <f>Source!AV82</f>
        <v>1</v>
      </c>
      <c r="I151" s="9">
        <f>IF(Source!BB82&lt;&gt; 0, Source!BB82, 1)</f>
        <v>1</v>
      </c>
      <c r="J151" s="26">
        <f>Source!Q82</f>
        <v>49019.18</v>
      </c>
      <c r="K151" s="26"/>
    </row>
    <row r="152" spans="1:22" ht="14.25" x14ac:dyDescent="0.2">
      <c r="A152" s="21"/>
      <c r="B152" s="22"/>
      <c r="C152" s="22" t="s">
        <v>454</v>
      </c>
      <c r="D152" s="23"/>
      <c r="E152" s="9"/>
      <c r="F152" s="25">
        <f>Source!AN82</f>
        <v>3222.98</v>
      </c>
      <c r="G152" s="24" t="str">
        <f>Source!DF82</f>
        <v/>
      </c>
      <c r="H152" s="9">
        <f>Source!AV82</f>
        <v>1</v>
      </c>
      <c r="I152" s="9">
        <f>IF(Source!BS82&lt;&gt; 0, Source!BS82, 1)</f>
        <v>1</v>
      </c>
      <c r="J152" s="28">
        <f>Source!R82</f>
        <v>20781.78</v>
      </c>
      <c r="K152" s="26"/>
    </row>
    <row r="153" spans="1:22" ht="14.25" x14ac:dyDescent="0.2">
      <c r="A153" s="21"/>
      <c r="B153" s="22"/>
      <c r="C153" s="22" t="s">
        <v>461</v>
      </c>
      <c r="D153" s="23"/>
      <c r="E153" s="9"/>
      <c r="F153" s="25">
        <f>Source!AL82</f>
        <v>65162.05</v>
      </c>
      <c r="G153" s="24" t="str">
        <f>Source!DD82</f>
        <v/>
      </c>
      <c r="H153" s="9">
        <f>Source!AW82</f>
        <v>1</v>
      </c>
      <c r="I153" s="9">
        <f>IF(Source!BC82&lt;&gt; 0, Source!BC82, 1)</f>
        <v>1</v>
      </c>
      <c r="J153" s="26">
        <f>Source!P82</f>
        <v>420164.9</v>
      </c>
      <c r="K153" s="26"/>
    </row>
    <row r="154" spans="1:22" ht="14.25" x14ac:dyDescent="0.2">
      <c r="A154" s="21"/>
      <c r="B154" s="22"/>
      <c r="C154" s="22" t="s">
        <v>455</v>
      </c>
      <c r="D154" s="23" t="s">
        <v>456</v>
      </c>
      <c r="E154" s="9">
        <f>Source!AT82</f>
        <v>70</v>
      </c>
      <c r="F154" s="25"/>
      <c r="G154" s="24"/>
      <c r="H154" s="9"/>
      <c r="I154" s="9"/>
      <c r="J154" s="26">
        <f>SUM(R148:R153)</f>
        <v>13990.08</v>
      </c>
      <c r="K154" s="26"/>
    </row>
    <row r="155" spans="1:22" ht="14.25" x14ac:dyDescent="0.2">
      <c r="A155" s="21"/>
      <c r="B155" s="22"/>
      <c r="C155" s="22" t="s">
        <v>457</v>
      </c>
      <c r="D155" s="23" t="s">
        <v>456</v>
      </c>
      <c r="E155" s="9">
        <f>Source!AU82</f>
        <v>10</v>
      </c>
      <c r="F155" s="25"/>
      <c r="G155" s="24"/>
      <c r="H155" s="9"/>
      <c r="I155" s="9"/>
      <c r="J155" s="26">
        <f>SUM(T148:T154)</f>
        <v>1998.58</v>
      </c>
      <c r="K155" s="26"/>
    </row>
    <row r="156" spans="1:22" ht="14.25" x14ac:dyDescent="0.2">
      <c r="A156" s="21"/>
      <c r="B156" s="22"/>
      <c r="C156" s="22" t="s">
        <v>458</v>
      </c>
      <c r="D156" s="23" t="s">
        <v>456</v>
      </c>
      <c r="E156" s="9">
        <f>108</f>
        <v>108</v>
      </c>
      <c r="F156" s="25"/>
      <c r="G156" s="24"/>
      <c r="H156" s="9"/>
      <c r="I156" s="9"/>
      <c r="J156" s="26">
        <f>SUM(V148:V155)</f>
        <v>22444.32</v>
      </c>
      <c r="K156" s="26"/>
    </row>
    <row r="157" spans="1:22" ht="14.25" x14ac:dyDescent="0.2">
      <c r="A157" s="21"/>
      <c r="B157" s="22"/>
      <c r="C157" s="22" t="s">
        <v>459</v>
      </c>
      <c r="D157" s="23" t="s">
        <v>460</v>
      </c>
      <c r="E157" s="9">
        <f>Source!AQ82</f>
        <v>16.559999999999999</v>
      </c>
      <c r="F157" s="25"/>
      <c r="G157" s="24" t="str">
        <f>Source!DI82</f>
        <v/>
      </c>
      <c r="H157" s="9">
        <f>Source!AV82</f>
        <v>1</v>
      </c>
      <c r="I157" s="9"/>
      <c r="J157" s="26"/>
      <c r="K157" s="26">
        <f>Source!U82</f>
        <v>106.77888</v>
      </c>
    </row>
    <row r="158" spans="1:22" ht="15" x14ac:dyDescent="0.25">
      <c r="A158" s="31"/>
      <c r="B158" s="31"/>
      <c r="C158" s="31"/>
      <c r="D158" s="31"/>
      <c r="E158" s="31"/>
      <c r="F158" s="31"/>
      <c r="G158" s="31"/>
      <c r="H158" s="31"/>
      <c r="I158" s="63">
        <f>J150+J151+J153+J154+J155+J156</f>
        <v>527602.89</v>
      </c>
      <c r="J158" s="63"/>
      <c r="K158" s="32">
        <f>IF(Source!I82&lt;&gt;0, ROUND(I158/Source!I82, 2), 0)</f>
        <v>81824.27</v>
      </c>
      <c r="P158" s="29">
        <f>I158</f>
        <v>527602.89</v>
      </c>
    </row>
    <row r="159" spans="1:22" ht="28.5" x14ac:dyDescent="0.2">
      <c r="A159" s="21" t="str">
        <f>Source!E83</f>
        <v>17</v>
      </c>
      <c r="B159" s="22" t="str">
        <f>Source!F83</f>
        <v>2.1-3303-1-2/1</v>
      </c>
      <c r="C159" s="22" t="str">
        <f>Source!G83</f>
        <v>Устройство подстилающих и выравнивающих слоев оснований из щебня</v>
      </c>
      <c r="D159" s="23" t="str">
        <f>Source!H83</f>
        <v>100 м3</v>
      </c>
      <c r="E159" s="9" t="str">
        <f>Source!I83</f>
        <v>4,7256</v>
      </c>
      <c r="F159" s="25"/>
      <c r="G159" s="24"/>
      <c r="H159" s="9"/>
      <c r="I159" s="9"/>
      <c r="J159" s="26"/>
      <c r="K159" s="26"/>
      <c r="Q159">
        <f>ROUND((Source!BZ83/100)*ROUND((Source!AF83*Source!AV83)*Source!I83, 2), 2)</f>
        <v>15379.51</v>
      </c>
      <c r="R159">
        <f>Source!X83</f>
        <v>15379.51</v>
      </c>
      <c r="S159">
        <f>ROUND((Source!CA83/100)*ROUND((Source!AF83*Source!AV83)*Source!I83, 2), 2)</f>
        <v>2197.0700000000002</v>
      </c>
      <c r="T159">
        <f>Source!Y83</f>
        <v>2197.0700000000002</v>
      </c>
      <c r="U159">
        <f>ROUND((175/100)*ROUND((Source!AE83*Source!AV83)*Source!I83, 2), 2)</f>
        <v>175444.89</v>
      </c>
      <c r="V159">
        <f>ROUND((108/100)*ROUND(Source!CS83*Source!I83, 2), 2)</f>
        <v>108274.56</v>
      </c>
    </row>
    <row r="160" spans="1:22" x14ac:dyDescent="0.2">
      <c r="C160" s="27" t="str">
        <f>"Объем: "&amp;Source!I83&amp;"=(3224*"&amp;"0,15)/"&amp;"100"</f>
        <v>Объем: 4,7256=(3224*0,15)/100</v>
      </c>
    </row>
    <row r="161" spans="1:22" ht="14.25" x14ac:dyDescent="0.2">
      <c r="A161" s="21"/>
      <c r="B161" s="22"/>
      <c r="C161" s="22" t="s">
        <v>452</v>
      </c>
      <c r="D161" s="23"/>
      <c r="E161" s="9"/>
      <c r="F161" s="25">
        <f>Source!AO83</f>
        <v>4649.3</v>
      </c>
      <c r="G161" s="24" t="str">
        <f>Source!DG83</f>
        <v/>
      </c>
      <c r="H161" s="9">
        <f>Source!AV83</f>
        <v>1</v>
      </c>
      <c r="I161" s="9">
        <f>IF(Source!BA83&lt;&gt; 0, Source!BA83, 1)</f>
        <v>1</v>
      </c>
      <c r="J161" s="26">
        <f>Source!S83</f>
        <v>21970.73</v>
      </c>
      <c r="K161" s="26"/>
    </row>
    <row r="162" spans="1:22" ht="14.25" x14ac:dyDescent="0.2">
      <c r="A162" s="21"/>
      <c r="B162" s="22"/>
      <c r="C162" s="22" t="s">
        <v>453</v>
      </c>
      <c r="D162" s="23"/>
      <c r="E162" s="9"/>
      <c r="F162" s="25">
        <f>Source!AM83</f>
        <v>53736.02</v>
      </c>
      <c r="G162" s="24" t="str">
        <f>Source!DE83</f>
        <v/>
      </c>
      <c r="H162" s="9">
        <f>Source!AV83</f>
        <v>1</v>
      </c>
      <c r="I162" s="9">
        <f>IF(Source!BB83&lt;&gt; 0, Source!BB83, 1)</f>
        <v>1</v>
      </c>
      <c r="J162" s="26">
        <f>Source!Q83</f>
        <v>253934.94</v>
      </c>
      <c r="K162" s="26"/>
    </row>
    <row r="163" spans="1:22" ht="14.25" x14ac:dyDescent="0.2">
      <c r="A163" s="21"/>
      <c r="B163" s="22"/>
      <c r="C163" s="22" t="s">
        <v>454</v>
      </c>
      <c r="D163" s="23"/>
      <c r="E163" s="9"/>
      <c r="F163" s="25">
        <f>Source!AN83</f>
        <v>21215.13</v>
      </c>
      <c r="G163" s="24" t="str">
        <f>Source!DF83</f>
        <v/>
      </c>
      <c r="H163" s="9">
        <f>Source!AV83</f>
        <v>1</v>
      </c>
      <c r="I163" s="9">
        <f>IF(Source!BS83&lt;&gt; 0, Source!BS83, 1)</f>
        <v>1</v>
      </c>
      <c r="J163" s="28">
        <f>Source!R83</f>
        <v>100254.22</v>
      </c>
      <c r="K163" s="26"/>
    </row>
    <row r="164" spans="1:22" ht="14.25" x14ac:dyDescent="0.2">
      <c r="A164" s="21"/>
      <c r="B164" s="22"/>
      <c r="C164" s="22" t="s">
        <v>461</v>
      </c>
      <c r="D164" s="23"/>
      <c r="E164" s="9"/>
      <c r="F164" s="25">
        <f>Source!AL83</f>
        <v>222479.25</v>
      </c>
      <c r="G164" s="24" t="str">
        <f>Source!DD83</f>
        <v/>
      </c>
      <c r="H164" s="9">
        <f>Source!AW83</f>
        <v>1</v>
      </c>
      <c r="I164" s="9">
        <f>IF(Source!BC83&lt;&gt; 0, Source!BC83, 1)</f>
        <v>1</v>
      </c>
      <c r="J164" s="26">
        <f>Source!P83</f>
        <v>1051347.94</v>
      </c>
      <c r="K164" s="26"/>
    </row>
    <row r="165" spans="1:22" ht="14.25" x14ac:dyDescent="0.2">
      <c r="A165" s="21"/>
      <c r="B165" s="22"/>
      <c r="C165" s="22" t="s">
        <v>455</v>
      </c>
      <c r="D165" s="23" t="s">
        <v>456</v>
      </c>
      <c r="E165" s="9">
        <f>Source!AT83</f>
        <v>70</v>
      </c>
      <c r="F165" s="25"/>
      <c r="G165" s="24"/>
      <c r="H165" s="9"/>
      <c r="I165" s="9"/>
      <c r="J165" s="26">
        <f>SUM(R159:R164)</f>
        <v>15379.51</v>
      </c>
      <c r="K165" s="26"/>
    </row>
    <row r="166" spans="1:22" ht="14.25" x14ac:dyDescent="0.2">
      <c r="A166" s="21"/>
      <c r="B166" s="22"/>
      <c r="C166" s="22" t="s">
        <v>457</v>
      </c>
      <c r="D166" s="23" t="s">
        <v>456</v>
      </c>
      <c r="E166" s="9">
        <f>Source!AU83</f>
        <v>10</v>
      </c>
      <c r="F166" s="25"/>
      <c r="G166" s="24"/>
      <c r="H166" s="9"/>
      <c r="I166" s="9"/>
      <c r="J166" s="26">
        <f>SUM(T159:T165)</f>
        <v>2197.0700000000002</v>
      </c>
      <c r="K166" s="26"/>
    </row>
    <row r="167" spans="1:22" ht="14.25" x14ac:dyDescent="0.2">
      <c r="A167" s="21"/>
      <c r="B167" s="22"/>
      <c r="C167" s="22" t="s">
        <v>458</v>
      </c>
      <c r="D167" s="23" t="s">
        <v>456</v>
      </c>
      <c r="E167" s="9">
        <f>108</f>
        <v>108</v>
      </c>
      <c r="F167" s="25"/>
      <c r="G167" s="24"/>
      <c r="H167" s="9"/>
      <c r="I167" s="9"/>
      <c r="J167" s="26">
        <f>SUM(V159:V166)</f>
        <v>108274.56</v>
      </c>
      <c r="K167" s="26"/>
    </row>
    <row r="168" spans="1:22" ht="14.25" x14ac:dyDescent="0.2">
      <c r="A168" s="21"/>
      <c r="B168" s="22"/>
      <c r="C168" s="22" t="s">
        <v>459</v>
      </c>
      <c r="D168" s="23" t="s">
        <v>460</v>
      </c>
      <c r="E168" s="9">
        <f>Source!AQ83</f>
        <v>24.84</v>
      </c>
      <c r="F168" s="25"/>
      <c r="G168" s="24" t="str">
        <f>Source!DI83</f>
        <v/>
      </c>
      <c r="H168" s="9">
        <f>Source!AV83</f>
        <v>1</v>
      </c>
      <c r="I168" s="9"/>
      <c r="J168" s="26"/>
      <c r="K168" s="26">
        <f>Source!U83</f>
        <v>117.383904</v>
      </c>
    </row>
    <row r="169" spans="1:22" ht="15" x14ac:dyDescent="0.25">
      <c r="A169" s="31"/>
      <c r="B169" s="31"/>
      <c r="C169" s="31"/>
      <c r="D169" s="31"/>
      <c r="E169" s="31"/>
      <c r="F169" s="31"/>
      <c r="G169" s="31"/>
      <c r="H169" s="31"/>
      <c r="I169" s="63">
        <f>J161+J162+J164+J165+J166+J167</f>
        <v>1453104.75</v>
      </c>
      <c r="J169" s="63"/>
      <c r="K169" s="32">
        <f>IF(Source!I83&lt;&gt;0, ROUND(I169/Source!I83, 2), 0)</f>
        <v>307496.34999999998</v>
      </c>
      <c r="P169" s="29">
        <f>I169</f>
        <v>1453104.75</v>
      </c>
    </row>
    <row r="170" spans="1:22" ht="57.75" customHeight="1" x14ac:dyDescent="0.2">
      <c r="A170" s="21" t="str">
        <f>Source!E84</f>
        <v>18</v>
      </c>
      <c r="B170" s="22" t="str">
        <f>Source!F84</f>
        <v>2.1-3103-19-4/1</v>
      </c>
      <c r="C170" s="22" t="str">
        <f>Source!G84</f>
        <v>Устройство асфальтобетонных покрытий дорожек и тротуаров двухслойных, верхний слой из песчаной асфальтобетонной смеси толщиной 3 см</v>
      </c>
      <c r="D170" s="23" t="str">
        <f>Source!H84</f>
        <v>100 м2</v>
      </c>
      <c r="E170" s="9">
        <f>Source!I84</f>
        <v>24</v>
      </c>
      <c r="F170" s="25"/>
      <c r="G170" s="24"/>
      <c r="H170" s="9"/>
      <c r="I170" s="9"/>
      <c r="J170" s="26"/>
      <c r="K170" s="26"/>
      <c r="Q170">
        <f>ROUND((Source!BZ84/100)*ROUND((Source!AF84*Source!AV84)*Source!I84, 2), 2)</f>
        <v>39563.83</v>
      </c>
      <c r="R170">
        <f>Source!X84</f>
        <v>39563.83</v>
      </c>
      <c r="S170">
        <f>ROUND((Source!CA84/100)*ROUND((Source!AF84*Source!AV84)*Source!I84, 2), 2)</f>
        <v>5651.98</v>
      </c>
      <c r="T170">
        <f>Source!Y84</f>
        <v>5651.98</v>
      </c>
      <c r="U170">
        <f>ROUND((175/100)*ROUND((Source!AE84*Source!AV84)*Source!I84, 2), 2)</f>
        <v>19812.240000000002</v>
      </c>
      <c r="V170">
        <f>ROUND((108/100)*ROUND(Source!CS84*Source!I84, 2), 2)</f>
        <v>12226.98</v>
      </c>
    </row>
    <row r="171" spans="1:22" x14ac:dyDescent="0.2">
      <c r="C171" s="27" t="str">
        <f>"Объем: "&amp;Source!I84&amp;"=3224/"&amp;"100"</f>
        <v>Объем: 24=3224/100</v>
      </c>
    </row>
    <row r="172" spans="1:22" ht="14.25" x14ac:dyDescent="0.2">
      <c r="A172" s="21"/>
      <c r="B172" s="22"/>
      <c r="C172" s="22" t="s">
        <v>452</v>
      </c>
      <c r="D172" s="23"/>
      <c r="E172" s="9"/>
      <c r="F172" s="25">
        <f>Source!AO84</f>
        <v>2354.9899999999998</v>
      </c>
      <c r="G172" s="24" t="str">
        <f>Source!DG84</f>
        <v/>
      </c>
      <c r="H172" s="9">
        <f>Source!AV84</f>
        <v>1</v>
      </c>
      <c r="I172" s="9">
        <f>IF(Source!BA84&lt;&gt; 0, Source!BA84, 1)</f>
        <v>1</v>
      </c>
      <c r="J172" s="26">
        <f>Source!S84</f>
        <v>56519.76</v>
      </c>
      <c r="K172" s="26"/>
    </row>
    <row r="173" spans="1:22" ht="14.25" x14ac:dyDescent="0.2">
      <c r="A173" s="21"/>
      <c r="B173" s="22"/>
      <c r="C173" s="22" t="s">
        <v>453</v>
      </c>
      <c r="D173" s="23"/>
      <c r="E173" s="9"/>
      <c r="F173" s="25">
        <f>Source!AM84</f>
        <v>1123.06</v>
      </c>
      <c r="G173" s="24" t="str">
        <f>Source!DE84</f>
        <v/>
      </c>
      <c r="H173" s="9">
        <f>Source!AV84</f>
        <v>1</v>
      </c>
      <c r="I173" s="9">
        <f>IF(Source!BB84&lt;&gt; 0, Source!BB84, 1)</f>
        <v>1</v>
      </c>
      <c r="J173" s="26">
        <f>Source!Q84</f>
        <v>26953.439999999999</v>
      </c>
      <c r="K173" s="26"/>
    </row>
    <row r="174" spans="1:22" ht="14.25" x14ac:dyDescent="0.2">
      <c r="A174" s="21"/>
      <c r="B174" s="22"/>
      <c r="C174" s="22" t="s">
        <v>454</v>
      </c>
      <c r="D174" s="23"/>
      <c r="E174" s="9"/>
      <c r="F174" s="25">
        <f>Source!AN84</f>
        <v>471.72</v>
      </c>
      <c r="G174" s="24" t="str">
        <f>Source!DF84</f>
        <v/>
      </c>
      <c r="H174" s="9">
        <f>Source!AV84</f>
        <v>1</v>
      </c>
      <c r="I174" s="9">
        <f>IF(Source!BS84&lt;&gt; 0, Source!BS84, 1)</f>
        <v>1</v>
      </c>
      <c r="J174" s="28">
        <f>Source!R84</f>
        <v>11321.28</v>
      </c>
      <c r="K174" s="26"/>
    </row>
    <row r="175" spans="1:22" ht="14.25" x14ac:dyDescent="0.2">
      <c r="A175" s="21"/>
      <c r="B175" s="22"/>
      <c r="C175" s="22" t="s">
        <v>461</v>
      </c>
      <c r="D175" s="23"/>
      <c r="E175" s="9"/>
      <c r="F175" s="25">
        <f>Source!AL84</f>
        <v>20488.849999999999</v>
      </c>
      <c r="G175" s="24" t="str">
        <f>Source!DD84</f>
        <v/>
      </c>
      <c r="H175" s="9">
        <f>Source!AW84</f>
        <v>1</v>
      </c>
      <c r="I175" s="9">
        <f>IF(Source!BC84&lt;&gt; 0, Source!BC84, 1)</f>
        <v>1</v>
      </c>
      <c r="J175" s="26">
        <f>Source!P84</f>
        <v>491732.4</v>
      </c>
      <c r="K175" s="26"/>
    </row>
    <row r="176" spans="1:22" ht="28.5" x14ac:dyDescent="0.2">
      <c r="A176" s="21" t="str">
        <f>Source!E85</f>
        <v>18,1</v>
      </c>
      <c r="B176" s="22" t="str">
        <f>Source!F85</f>
        <v>21.3-3-34</v>
      </c>
      <c r="C176" s="22" t="str">
        <f>Source!G85</f>
        <v>Смеси асфальтобетонные дорожные горячие песчаные, тип Д, марка III</v>
      </c>
      <c r="D176" s="23" t="str">
        <f>Source!H85</f>
        <v>т</v>
      </c>
      <c r="E176" s="9">
        <f>Source!I85</f>
        <v>-171.35999999999999</v>
      </c>
      <c r="F176" s="25">
        <f>Source!AK85</f>
        <v>2652.04</v>
      </c>
      <c r="G176" s="33" t="s">
        <v>3</v>
      </c>
      <c r="H176" s="9">
        <f>Source!AW85</f>
        <v>1</v>
      </c>
      <c r="I176" s="9">
        <f>IF(Source!BC85&lt;&gt; 0, Source!BC85, 1)</f>
        <v>1</v>
      </c>
      <c r="J176" s="26">
        <f>Source!O85</f>
        <v>-454453.57</v>
      </c>
      <c r="K176" s="26"/>
      <c r="Q176">
        <f>ROUND((Source!BZ85/100)*ROUND((Source!AF85*Source!AV85)*Source!I85, 2), 2)</f>
        <v>0</v>
      </c>
      <c r="R176">
        <f>Source!X85</f>
        <v>0</v>
      </c>
      <c r="S176">
        <f>ROUND((Source!CA85/100)*ROUND((Source!AF85*Source!AV85)*Source!I85, 2), 2)</f>
        <v>0</v>
      </c>
      <c r="T176">
        <f>Source!Y85</f>
        <v>0</v>
      </c>
      <c r="U176">
        <f>ROUND((175/100)*ROUND((Source!AE85*Source!AV85)*Source!I85, 2), 2)</f>
        <v>0</v>
      </c>
      <c r="V176">
        <f>ROUND((108/100)*ROUND(Source!CS85*Source!I85, 2), 2)</f>
        <v>0</v>
      </c>
    </row>
    <row r="177" spans="1:32" ht="28.5" x14ac:dyDescent="0.2">
      <c r="A177" s="21" t="str">
        <f>Source!E86</f>
        <v>18,2</v>
      </c>
      <c r="B177" s="22" t="str">
        <f>Source!F86</f>
        <v>21.3-3-34</v>
      </c>
      <c r="C177" s="22" t="str">
        <f>Source!G86</f>
        <v>Смеси асфальтобетонные дорожные горячие песчаные, тип Д, марка III</v>
      </c>
      <c r="D177" s="23" t="str">
        <f>Source!H86</f>
        <v>т</v>
      </c>
      <c r="E177" s="9">
        <f>Source!I86</f>
        <v>285.59999999999997</v>
      </c>
      <c r="F177" s="25">
        <f>Source!AK86</f>
        <v>2652.04</v>
      </c>
      <c r="G177" s="33" t="s">
        <v>3</v>
      </c>
      <c r="H177" s="9">
        <f>Source!AW86</f>
        <v>1</v>
      </c>
      <c r="I177" s="9">
        <f>IF(Source!BC86&lt;&gt; 0, Source!BC86, 1)</f>
        <v>1</v>
      </c>
      <c r="J177" s="26">
        <f>Source!O86</f>
        <v>757422.62</v>
      </c>
      <c r="K177" s="26"/>
      <c r="Q177">
        <f>ROUND((Source!BZ86/100)*ROUND((Source!AF86*Source!AV86)*Source!I86, 2), 2)</f>
        <v>0</v>
      </c>
      <c r="R177">
        <f>Source!X86</f>
        <v>0</v>
      </c>
      <c r="S177">
        <f>ROUND((Source!CA86/100)*ROUND((Source!AF86*Source!AV86)*Source!I86, 2), 2)</f>
        <v>0</v>
      </c>
      <c r="T177">
        <f>Source!Y86</f>
        <v>0</v>
      </c>
      <c r="U177">
        <f>ROUND((175/100)*ROUND((Source!AE86*Source!AV86)*Source!I86, 2), 2)</f>
        <v>0</v>
      </c>
      <c r="V177">
        <f>ROUND((108/100)*ROUND(Source!CS86*Source!I86, 2), 2)</f>
        <v>0</v>
      </c>
    </row>
    <row r="178" spans="1:32" ht="14.25" x14ac:dyDescent="0.2">
      <c r="A178" s="21"/>
      <c r="B178" s="22"/>
      <c r="C178" s="22" t="s">
        <v>455</v>
      </c>
      <c r="D178" s="23" t="s">
        <v>456</v>
      </c>
      <c r="E178" s="9">
        <f>Source!AT84</f>
        <v>70</v>
      </c>
      <c r="F178" s="25"/>
      <c r="G178" s="24"/>
      <c r="H178" s="9"/>
      <c r="I178" s="9"/>
      <c r="J178" s="26">
        <f>SUM(R170:R177)</f>
        <v>39563.83</v>
      </c>
      <c r="K178" s="26"/>
    </row>
    <row r="179" spans="1:32" ht="14.25" x14ac:dyDescent="0.2">
      <c r="A179" s="21"/>
      <c r="B179" s="22"/>
      <c r="C179" s="22" t="s">
        <v>457</v>
      </c>
      <c r="D179" s="23" t="s">
        <v>456</v>
      </c>
      <c r="E179" s="9">
        <f>Source!AU84</f>
        <v>10</v>
      </c>
      <c r="F179" s="25"/>
      <c r="G179" s="24"/>
      <c r="H179" s="9"/>
      <c r="I179" s="9"/>
      <c r="J179" s="26">
        <f>SUM(T170:T178)</f>
        <v>5651.98</v>
      </c>
      <c r="K179" s="26"/>
    </row>
    <row r="180" spans="1:32" ht="14.25" x14ac:dyDescent="0.2">
      <c r="A180" s="21"/>
      <c r="B180" s="22"/>
      <c r="C180" s="22" t="s">
        <v>458</v>
      </c>
      <c r="D180" s="23" t="s">
        <v>456</v>
      </c>
      <c r="E180" s="9">
        <f>108</f>
        <v>108</v>
      </c>
      <c r="F180" s="25"/>
      <c r="G180" s="24"/>
      <c r="H180" s="9"/>
      <c r="I180" s="9"/>
      <c r="J180" s="26">
        <f>SUM(V170:V179)</f>
        <v>12226.98</v>
      </c>
      <c r="K180" s="26"/>
    </row>
    <row r="181" spans="1:32" ht="14.25" x14ac:dyDescent="0.2">
      <c r="A181" s="21"/>
      <c r="B181" s="22"/>
      <c r="C181" s="22" t="s">
        <v>459</v>
      </c>
      <c r="D181" s="23" t="s">
        <v>460</v>
      </c>
      <c r="E181" s="9">
        <f>Source!AQ84</f>
        <v>10.3</v>
      </c>
      <c r="F181" s="25"/>
      <c r="G181" s="24" t="str">
        <f>Source!DI84</f>
        <v/>
      </c>
      <c r="H181" s="9">
        <f>Source!AV84</f>
        <v>1</v>
      </c>
      <c r="I181" s="9"/>
      <c r="J181" s="26"/>
      <c r="K181" s="26">
        <f>Source!U84</f>
        <v>247.20000000000002</v>
      </c>
    </row>
    <row r="182" spans="1:32" ht="15" x14ac:dyDescent="0.25">
      <c r="A182" s="31"/>
      <c r="B182" s="31"/>
      <c r="C182" s="31"/>
      <c r="D182" s="31"/>
      <c r="E182" s="31"/>
      <c r="F182" s="31"/>
      <c r="G182" s="31"/>
      <c r="H182" s="31"/>
      <c r="I182" s="63">
        <f>J172+J173+J175+J178+J179+J180+SUM(J176:J177)</f>
        <v>935617.44</v>
      </c>
      <c r="J182" s="63"/>
      <c r="K182" s="32">
        <f>IF(Source!I84&lt;&gt;0, ROUND(I182/Source!I84, 2), 0)</f>
        <v>38984.06</v>
      </c>
      <c r="P182" s="29">
        <f>I182</f>
        <v>935617.44</v>
      </c>
    </row>
    <row r="184" spans="1:32" ht="30" x14ac:dyDescent="0.25">
      <c r="A184" s="59" t="str">
        <f>CONCATENATE("Итого по разделу: ",IF(Source!G88&lt;&gt;"Новый раздел", Source!G88, ""))</f>
        <v xml:space="preserve">Итого по разделу: Раздел 10.1 . Устройство новых оснований площадок (детские, спортивные, воркаут) АБП </v>
      </c>
      <c r="B184" s="59"/>
      <c r="C184" s="59"/>
      <c r="D184" s="59"/>
      <c r="E184" s="59"/>
      <c r="F184" s="59"/>
      <c r="G184" s="59"/>
      <c r="H184" s="59"/>
      <c r="I184" s="60">
        <f>SUM(P111:P183)</f>
        <v>4549006.22</v>
      </c>
      <c r="J184" s="61"/>
      <c r="K184" s="34"/>
      <c r="AF184" s="35" t="str">
        <f>CONCATENATE("Итого по разделу: ",IF(Source!G88&lt;&gt;"Новый раздел", Source!G88, ""))</f>
        <v xml:space="preserve">Итого по разделу: Раздел 10.1 . Устройство новых оснований площадок (детские, спортивные, воркаут) АБП </v>
      </c>
    </row>
    <row r="186" spans="1:32" ht="14.25" x14ac:dyDescent="0.2">
      <c r="C186" s="57" t="str">
        <f>Source!H116</f>
        <v>Итого</v>
      </c>
      <c r="D186" s="57"/>
      <c r="E186" s="57"/>
      <c r="F186" s="57"/>
      <c r="G186" s="57"/>
      <c r="H186" s="57"/>
      <c r="I186" s="58">
        <f>IF(Source!F116=0, "", Source!F116)</f>
        <v>4549006.22</v>
      </c>
      <c r="J186" s="58"/>
    </row>
    <row r="187" spans="1:32" ht="14.25" x14ac:dyDescent="0.2">
      <c r="C187" s="57" t="str">
        <f>Source!H117</f>
        <v>НДС 20%</v>
      </c>
      <c r="D187" s="57"/>
      <c r="E187" s="57"/>
      <c r="F187" s="57"/>
      <c r="G187" s="57"/>
      <c r="H187" s="57"/>
      <c r="I187" s="58">
        <f>IF(Source!F117=0, "", Source!F117)</f>
        <v>909801.24</v>
      </c>
      <c r="J187" s="58"/>
    </row>
    <row r="188" spans="1:32" ht="14.25" x14ac:dyDescent="0.2">
      <c r="C188" s="57" t="str">
        <f>Source!H118</f>
        <v>Всего</v>
      </c>
      <c r="D188" s="57"/>
      <c r="E188" s="57"/>
      <c r="F188" s="57"/>
      <c r="G188" s="57"/>
      <c r="H188" s="57"/>
      <c r="I188" s="58">
        <f>IF(Source!F118=0, "", Source!F118)</f>
        <v>5458807.46</v>
      </c>
      <c r="J188" s="58"/>
    </row>
    <row r="190" spans="1:32" ht="33" x14ac:dyDescent="0.25">
      <c r="A190" s="62" t="str">
        <f>CONCATENATE("Раздел: ",IF(Source!G120&lt;&gt;"Новый раздел", Source!G120, ""))</f>
        <v xml:space="preserve">Раздел: Раздел 11. Замена\устройство бортового камня садового(для оснований площадок детских, спортивных, воркаут) 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AE190" s="20" t="str">
        <f>CONCATENATE("Раздел: ",IF(Source!G120&lt;&gt;"Новый раздел", Source!G120, ""))</f>
        <v xml:space="preserve">Раздел: Раздел 11. Замена\устройство бортового камня садового(для оснований площадок детских, спортивных, воркаут) </v>
      </c>
    </row>
    <row r="191" spans="1:32" ht="28.5" x14ac:dyDescent="0.2">
      <c r="A191" s="21" t="str">
        <f>Source!E124</f>
        <v>19</v>
      </c>
      <c r="B191" s="22" t="str">
        <f>Source!F124</f>
        <v>2.1-3204-6-1/1</v>
      </c>
      <c r="C191" s="22" t="str">
        <f>Source!G124</f>
        <v>Разборка бортовых камней на бетонном основании</v>
      </c>
      <c r="D191" s="23" t="str">
        <f>Source!H124</f>
        <v>100 м</v>
      </c>
      <c r="E191" s="9">
        <f>Source!I124</f>
        <v>5.16</v>
      </c>
      <c r="F191" s="25"/>
      <c r="G191" s="24"/>
      <c r="H191" s="9"/>
      <c r="I191" s="9"/>
      <c r="J191" s="26"/>
      <c r="K191" s="26"/>
      <c r="Q191">
        <f>ROUND((Source!BZ124/100)*ROUND((Source!AF124*Source!AV124)*Source!I124, 2), 2)</f>
        <v>56006.48</v>
      </c>
      <c r="R191">
        <f>Source!X124</f>
        <v>56006.48</v>
      </c>
      <c r="S191">
        <f>ROUND((Source!CA124/100)*ROUND((Source!AF124*Source!AV124)*Source!I124, 2), 2)</f>
        <v>8000.93</v>
      </c>
      <c r="T191">
        <f>Source!Y124</f>
        <v>8000.93</v>
      </c>
      <c r="U191">
        <f>ROUND((175/100)*ROUND((Source!AE124*Source!AV124)*Source!I124, 2), 2)</f>
        <v>0</v>
      </c>
      <c r="V191">
        <f>ROUND((108/100)*ROUND(Source!CS124*Source!I124, 2), 2)</f>
        <v>0</v>
      </c>
    </row>
    <row r="192" spans="1:32" x14ac:dyDescent="0.2">
      <c r="C192" s="27" t="str">
        <f>"Объем: "&amp;Source!I124&amp;"=516/"&amp;"100"</f>
        <v>Объем: 5,16=516/100</v>
      </c>
    </row>
    <row r="193" spans="1:22" ht="14.25" x14ac:dyDescent="0.2">
      <c r="A193" s="21"/>
      <c r="B193" s="22"/>
      <c r="C193" s="22" t="s">
        <v>452</v>
      </c>
      <c r="D193" s="23"/>
      <c r="E193" s="9"/>
      <c r="F193" s="25">
        <f>Source!AO124</f>
        <v>15505.67</v>
      </c>
      <c r="G193" s="24" t="str">
        <f>Source!DG124</f>
        <v/>
      </c>
      <c r="H193" s="9">
        <f>Source!AV124</f>
        <v>1</v>
      </c>
      <c r="I193" s="9">
        <f>IF(Source!BA124&lt;&gt; 0, Source!BA124, 1)</f>
        <v>1</v>
      </c>
      <c r="J193" s="26">
        <f>Source!S124</f>
        <v>80009.259999999995</v>
      </c>
      <c r="K193" s="26"/>
    </row>
    <row r="194" spans="1:22" ht="14.25" x14ac:dyDescent="0.2">
      <c r="A194" s="21"/>
      <c r="B194" s="22"/>
      <c r="C194" s="22" t="s">
        <v>455</v>
      </c>
      <c r="D194" s="23" t="s">
        <v>456</v>
      </c>
      <c r="E194" s="9">
        <f>Source!AT124</f>
        <v>70</v>
      </c>
      <c r="F194" s="25"/>
      <c r="G194" s="24"/>
      <c r="H194" s="9"/>
      <c r="I194" s="9"/>
      <c r="J194" s="26">
        <f>SUM(R191:R193)</f>
        <v>56006.48</v>
      </c>
      <c r="K194" s="26"/>
    </row>
    <row r="195" spans="1:22" ht="14.25" x14ac:dyDescent="0.2">
      <c r="A195" s="21"/>
      <c r="B195" s="22"/>
      <c r="C195" s="22" t="s">
        <v>457</v>
      </c>
      <c r="D195" s="23" t="s">
        <v>456</v>
      </c>
      <c r="E195" s="9">
        <f>Source!AU124</f>
        <v>10</v>
      </c>
      <c r="F195" s="25"/>
      <c r="G195" s="24"/>
      <c r="H195" s="9"/>
      <c r="I195" s="9"/>
      <c r="J195" s="26">
        <f>SUM(T191:T194)</f>
        <v>8000.93</v>
      </c>
      <c r="K195" s="26"/>
    </row>
    <row r="196" spans="1:22" ht="14.25" x14ac:dyDescent="0.2">
      <c r="A196" s="21"/>
      <c r="B196" s="22"/>
      <c r="C196" s="22" t="s">
        <v>459</v>
      </c>
      <c r="D196" s="23" t="s">
        <v>460</v>
      </c>
      <c r="E196" s="9">
        <f>Source!AQ124</f>
        <v>76.7</v>
      </c>
      <c r="F196" s="25"/>
      <c r="G196" s="24" t="str">
        <f>Source!DI124</f>
        <v/>
      </c>
      <c r="H196" s="9">
        <f>Source!AV124</f>
        <v>1</v>
      </c>
      <c r="I196" s="9"/>
      <c r="J196" s="26"/>
      <c r="K196" s="26">
        <f>Source!U124</f>
        <v>395.77200000000005</v>
      </c>
    </row>
    <row r="197" spans="1:22" ht="15" x14ac:dyDescent="0.25">
      <c r="A197" s="31"/>
      <c r="B197" s="31"/>
      <c r="C197" s="31"/>
      <c r="D197" s="31"/>
      <c r="E197" s="31"/>
      <c r="F197" s="31"/>
      <c r="G197" s="31"/>
      <c r="H197" s="31"/>
      <c r="I197" s="63">
        <f>J193+J194+J195</f>
        <v>144016.66999999998</v>
      </c>
      <c r="J197" s="63"/>
      <c r="K197" s="32">
        <f>IF(Source!I124&lt;&gt;0, ROUND(I197/Source!I124, 2), 0)</f>
        <v>27910.21</v>
      </c>
      <c r="P197" s="29">
        <f>I197</f>
        <v>144016.66999999998</v>
      </c>
    </row>
    <row r="198" spans="1:22" ht="42.75" x14ac:dyDescent="0.2">
      <c r="A198" s="21" t="str">
        <f>Source!E125</f>
        <v>20</v>
      </c>
      <c r="B198" s="22" t="str">
        <f>Source!F125</f>
        <v>1.50-3305-4-1/1</v>
      </c>
      <c r="C198" s="22" t="str">
        <f>Source!G125</f>
        <v>Погрузка и выгрузка вручную строительного мусора на транспортные средства</v>
      </c>
      <c r="D198" s="23" t="str">
        <f>Source!H125</f>
        <v>т</v>
      </c>
      <c r="E198" s="9">
        <f>Source!I125</f>
        <v>7.9257600000000004</v>
      </c>
      <c r="F198" s="25"/>
      <c r="G198" s="24"/>
      <c r="H198" s="9"/>
      <c r="I198" s="9"/>
      <c r="J198" s="26"/>
      <c r="K198" s="26"/>
      <c r="Q198">
        <f>ROUND((Source!BZ125/100)*ROUND((Source!AF125*Source!AV125)*Source!I125, 2), 2)</f>
        <v>692.95</v>
      </c>
      <c r="R198">
        <f>Source!X125</f>
        <v>692.95</v>
      </c>
      <c r="S198">
        <f>ROUND((Source!CA125/100)*ROUND((Source!AF125*Source!AV125)*Source!I125, 2), 2)</f>
        <v>98.99</v>
      </c>
      <c r="T198">
        <f>Source!Y125</f>
        <v>98.99</v>
      </c>
      <c r="U198">
        <f>ROUND((175/100)*ROUND((Source!AE125*Source!AV125)*Source!I125, 2), 2)</f>
        <v>0</v>
      </c>
      <c r="V198">
        <f>ROUND((108/100)*ROUND(Source!CS125*Source!I125, 2), 2)</f>
        <v>0</v>
      </c>
    </row>
    <row r="199" spans="1:22" x14ac:dyDescent="0.2">
      <c r="C199" s="27" t="str">
        <f>"Объем: "&amp;Source!I125&amp;"=516*"&amp;"(0,016+"&amp;"0,048)*"&amp;"2,4*"&amp;"0,1"</f>
        <v>Объем: 7,92576=516*(0,016+0,048)*2,4*0,1</v>
      </c>
    </row>
    <row r="200" spans="1:22" ht="14.25" x14ac:dyDescent="0.2">
      <c r="A200" s="21"/>
      <c r="B200" s="22"/>
      <c r="C200" s="22" t="s">
        <v>452</v>
      </c>
      <c r="D200" s="23"/>
      <c r="E200" s="9"/>
      <c r="F200" s="25">
        <f>Source!AO125</f>
        <v>124.9</v>
      </c>
      <c r="G200" s="24" t="str">
        <f>Source!DG125</f>
        <v/>
      </c>
      <c r="H200" s="9">
        <f>Source!AV125</f>
        <v>1</v>
      </c>
      <c r="I200" s="9">
        <f>IF(Source!BA125&lt;&gt; 0, Source!BA125, 1)</f>
        <v>1</v>
      </c>
      <c r="J200" s="26">
        <f>Source!S125</f>
        <v>989.93</v>
      </c>
      <c r="K200" s="26"/>
    </row>
    <row r="201" spans="1:22" ht="14.25" x14ac:dyDescent="0.2">
      <c r="A201" s="21"/>
      <c r="B201" s="22"/>
      <c r="C201" s="22" t="s">
        <v>455</v>
      </c>
      <c r="D201" s="23" t="s">
        <v>456</v>
      </c>
      <c r="E201" s="9">
        <f>Source!AT125</f>
        <v>70</v>
      </c>
      <c r="F201" s="25"/>
      <c r="G201" s="24"/>
      <c r="H201" s="9"/>
      <c r="I201" s="9"/>
      <c r="J201" s="26">
        <f>SUM(R198:R200)</f>
        <v>692.95</v>
      </c>
      <c r="K201" s="26"/>
    </row>
    <row r="202" spans="1:22" ht="14.25" x14ac:dyDescent="0.2">
      <c r="A202" s="21"/>
      <c r="B202" s="22"/>
      <c r="C202" s="22" t="s">
        <v>457</v>
      </c>
      <c r="D202" s="23" t="s">
        <v>456</v>
      </c>
      <c r="E202" s="9">
        <f>Source!AU125</f>
        <v>10</v>
      </c>
      <c r="F202" s="25"/>
      <c r="G202" s="24"/>
      <c r="H202" s="9"/>
      <c r="I202" s="9"/>
      <c r="J202" s="26">
        <f>SUM(T198:T201)</f>
        <v>98.99</v>
      </c>
      <c r="K202" s="26"/>
    </row>
    <row r="203" spans="1:22" ht="14.25" x14ac:dyDescent="0.2">
      <c r="A203" s="21"/>
      <c r="B203" s="22"/>
      <c r="C203" s="22" t="s">
        <v>459</v>
      </c>
      <c r="D203" s="23" t="s">
        <v>460</v>
      </c>
      <c r="E203" s="9">
        <f>Source!AQ125</f>
        <v>1.02</v>
      </c>
      <c r="F203" s="25"/>
      <c r="G203" s="24" t="str">
        <f>Source!DI125</f>
        <v/>
      </c>
      <c r="H203" s="9">
        <f>Source!AV125</f>
        <v>1</v>
      </c>
      <c r="I203" s="9"/>
      <c r="J203" s="26"/>
      <c r="K203" s="26">
        <f>Source!U125</f>
        <v>8.0842752000000004</v>
      </c>
    </row>
    <row r="204" spans="1:22" ht="15" x14ac:dyDescent="0.25">
      <c r="A204" s="31"/>
      <c r="B204" s="31"/>
      <c r="C204" s="31"/>
      <c r="D204" s="31"/>
      <c r="E204" s="31"/>
      <c r="F204" s="31"/>
      <c r="G204" s="31"/>
      <c r="H204" s="31"/>
      <c r="I204" s="63">
        <f>J200+J201+J202</f>
        <v>1781.8700000000001</v>
      </c>
      <c r="J204" s="63"/>
      <c r="K204" s="32">
        <f>IF(Source!I125&lt;&gt;0, ROUND(I204/Source!I125, 2), 0)</f>
        <v>224.82</v>
      </c>
      <c r="P204" s="29">
        <f>I204</f>
        <v>1781.8700000000001</v>
      </c>
    </row>
    <row r="205" spans="1:22" ht="28.5" customHeight="1" x14ac:dyDescent="0.2">
      <c r="A205" s="21" t="str">
        <f>Source!E126</f>
        <v>21</v>
      </c>
      <c r="B205" s="22" t="str">
        <f>Source!F126</f>
        <v>1.49-9101-7-1/1</v>
      </c>
      <c r="C205" s="22" t="str">
        <f>Source!G126</f>
        <v>Механизированная погрузка строительного мусора в автомобили-самосвалы</v>
      </c>
      <c r="D205" s="23" t="str">
        <f>Source!H126</f>
        <v>т</v>
      </c>
      <c r="E205" s="9">
        <f>Source!I126</f>
        <v>85.017600000000002</v>
      </c>
      <c r="F205" s="25"/>
      <c r="G205" s="24"/>
      <c r="H205" s="9"/>
      <c r="I205" s="9"/>
      <c r="J205" s="26"/>
      <c r="K205" s="26"/>
      <c r="Q205">
        <f>ROUND((Source!BZ126/100)*ROUND((Source!AF126*Source!AV126)*Source!I126, 2), 2)</f>
        <v>0</v>
      </c>
      <c r="R205">
        <f>Source!X126</f>
        <v>0</v>
      </c>
      <c r="S205">
        <f>ROUND((Source!CA126/100)*ROUND((Source!AF126*Source!AV126)*Source!I126, 2), 2)</f>
        <v>0</v>
      </c>
      <c r="T205">
        <f>Source!Y126</f>
        <v>0</v>
      </c>
      <c r="U205">
        <f>ROUND((175/100)*ROUND((Source!AE126*Source!AV126)*Source!I126, 2), 2)</f>
        <v>3844.49</v>
      </c>
      <c r="V205">
        <f>ROUND((108/100)*ROUND(Source!CS126*Source!I126, 2), 2)</f>
        <v>2372.6</v>
      </c>
    </row>
    <row r="206" spans="1:22" x14ac:dyDescent="0.2">
      <c r="C206" s="27" t="str">
        <f>"Объем: "&amp;Source!I126&amp;"=615*"&amp;"(0,016+"&amp;"0,048)*"&amp;"2,4*"&amp;"0,9"</f>
        <v>Объем: 85,0176=615*(0,016+0,048)*2,4*0,9</v>
      </c>
    </row>
    <row r="207" spans="1:22" ht="14.25" x14ac:dyDescent="0.2">
      <c r="A207" s="21"/>
      <c r="B207" s="22"/>
      <c r="C207" s="22" t="s">
        <v>453</v>
      </c>
      <c r="D207" s="23"/>
      <c r="E207" s="9"/>
      <c r="F207" s="25">
        <f>Source!AM126</f>
        <v>80.25</v>
      </c>
      <c r="G207" s="24" t="str">
        <f>Source!DE126</f>
        <v/>
      </c>
      <c r="H207" s="9">
        <f>Source!AV126</f>
        <v>1</v>
      </c>
      <c r="I207" s="9">
        <f>IF(Source!BB126&lt;&gt; 0, Source!BB126, 1)</f>
        <v>1</v>
      </c>
      <c r="J207" s="26">
        <f>Source!Q126</f>
        <v>6822.66</v>
      </c>
      <c r="K207" s="26"/>
    </row>
    <row r="208" spans="1:22" ht="14.25" x14ac:dyDescent="0.2">
      <c r="A208" s="21"/>
      <c r="B208" s="22"/>
      <c r="C208" s="22" t="s">
        <v>454</v>
      </c>
      <c r="D208" s="23"/>
      <c r="E208" s="9"/>
      <c r="F208" s="25">
        <f>Source!AN126</f>
        <v>25.84</v>
      </c>
      <c r="G208" s="24" t="str">
        <f>Source!DF126</f>
        <v/>
      </c>
      <c r="H208" s="9">
        <f>Source!AV126</f>
        <v>1</v>
      </c>
      <c r="I208" s="9">
        <f>IF(Source!BS126&lt;&gt; 0, Source!BS126, 1)</f>
        <v>1</v>
      </c>
      <c r="J208" s="28">
        <f>Source!R126</f>
        <v>2196.85</v>
      </c>
      <c r="K208" s="26"/>
    </row>
    <row r="209" spans="1:22" ht="14.25" x14ac:dyDescent="0.2">
      <c r="A209" s="21"/>
      <c r="B209" s="22"/>
      <c r="C209" s="22" t="s">
        <v>458</v>
      </c>
      <c r="D209" s="23" t="s">
        <v>456</v>
      </c>
      <c r="E209" s="9">
        <f>108</f>
        <v>108</v>
      </c>
      <c r="F209" s="25"/>
      <c r="G209" s="24"/>
      <c r="H209" s="9"/>
      <c r="I209" s="9"/>
      <c r="J209" s="26">
        <f>SUM(V205:V208)</f>
        <v>2372.6</v>
      </c>
      <c r="K209" s="26"/>
    </row>
    <row r="210" spans="1:22" ht="15" x14ac:dyDescent="0.25">
      <c r="A210" s="31"/>
      <c r="B210" s="31"/>
      <c r="C210" s="31"/>
      <c r="D210" s="31"/>
      <c r="E210" s="31"/>
      <c r="F210" s="31"/>
      <c r="G210" s="31"/>
      <c r="H210" s="31"/>
      <c r="I210" s="63">
        <f>J207+J209</f>
        <v>9195.26</v>
      </c>
      <c r="J210" s="63"/>
      <c r="K210" s="32">
        <f>IF(Source!I126&lt;&gt;0, ROUND(I210/Source!I126, 2), 0)</f>
        <v>108.16</v>
      </c>
      <c r="P210" s="29">
        <f>I210</f>
        <v>9195.26</v>
      </c>
    </row>
    <row r="211" spans="1:22" ht="57" x14ac:dyDescent="0.2">
      <c r="A211" s="21" t="str">
        <f>Source!E127</f>
        <v>22</v>
      </c>
      <c r="B211" s="22" t="str">
        <f>Source!F127</f>
        <v>1.49-9201-1-1/1</v>
      </c>
      <c r="C211" s="22" t="str">
        <f>Source!G127</f>
        <v>Перевозка строительного мусора автосамосвалами грузоподъемностью до 10 т на расстояние 1 км - при погрузке вручную</v>
      </c>
      <c r="D211" s="23" t="str">
        <f>Source!H127</f>
        <v>т</v>
      </c>
      <c r="E211" s="9">
        <f>Source!I127</f>
        <v>7.9257600000000004</v>
      </c>
      <c r="F211" s="25"/>
      <c r="G211" s="24"/>
      <c r="H211" s="9"/>
      <c r="I211" s="9"/>
      <c r="J211" s="26"/>
      <c r="K211" s="26"/>
      <c r="Q211">
        <f>ROUND((Source!BZ127/100)*ROUND((Source!AF127*Source!AV127)*Source!I127, 2), 2)</f>
        <v>0</v>
      </c>
      <c r="R211">
        <f>Source!X127</f>
        <v>0</v>
      </c>
      <c r="S211">
        <f>ROUND((Source!CA127/100)*ROUND((Source!AF127*Source!AV127)*Source!I127, 2), 2)</f>
        <v>0</v>
      </c>
      <c r="T211">
        <f>Source!Y127</f>
        <v>0</v>
      </c>
      <c r="U211">
        <f>ROUND((175/100)*ROUND((Source!AE127*Source!AV127)*Source!I127, 2), 2)</f>
        <v>1250.81</v>
      </c>
      <c r="V211">
        <f>ROUND((108/100)*ROUND(Source!CS127*Source!I127, 2), 2)</f>
        <v>771.93</v>
      </c>
    </row>
    <row r="212" spans="1:22" ht="14.25" x14ac:dyDescent="0.2">
      <c r="A212" s="21"/>
      <c r="B212" s="22"/>
      <c r="C212" s="22" t="s">
        <v>453</v>
      </c>
      <c r="D212" s="23"/>
      <c r="E212" s="9"/>
      <c r="F212" s="25">
        <f>Source!AM127</f>
        <v>165.91</v>
      </c>
      <c r="G212" s="24" t="str">
        <f>Source!DE127</f>
        <v/>
      </c>
      <c r="H212" s="9">
        <f>Source!AV127</f>
        <v>1</v>
      </c>
      <c r="I212" s="9">
        <f>IF(Source!BB127&lt;&gt; 0, Source!BB127, 1)</f>
        <v>1</v>
      </c>
      <c r="J212" s="26">
        <f>Source!Q127</f>
        <v>1314.96</v>
      </c>
      <c r="K212" s="26"/>
    </row>
    <row r="213" spans="1:22" ht="14.25" x14ac:dyDescent="0.2">
      <c r="A213" s="21"/>
      <c r="B213" s="22"/>
      <c r="C213" s="22" t="s">
        <v>454</v>
      </c>
      <c r="D213" s="23"/>
      <c r="E213" s="9"/>
      <c r="F213" s="25">
        <f>Source!AN127</f>
        <v>90.18</v>
      </c>
      <c r="G213" s="24" t="str">
        <f>Source!DF127</f>
        <v/>
      </c>
      <c r="H213" s="9">
        <f>Source!AV127</f>
        <v>1</v>
      </c>
      <c r="I213" s="9">
        <f>IF(Source!BS127&lt;&gt; 0, Source!BS127, 1)</f>
        <v>1</v>
      </c>
      <c r="J213" s="28">
        <f>Source!R127</f>
        <v>714.75</v>
      </c>
      <c r="K213" s="26"/>
    </row>
    <row r="214" spans="1:22" ht="15" x14ac:dyDescent="0.25">
      <c r="A214" s="31"/>
      <c r="B214" s="31"/>
      <c r="C214" s="31"/>
      <c r="D214" s="31"/>
      <c r="E214" s="31"/>
      <c r="F214" s="31"/>
      <c r="G214" s="31"/>
      <c r="H214" s="31"/>
      <c r="I214" s="63">
        <f>J212</f>
        <v>1314.96</v>
      </c>
      <c r="J214" s="63"/>
      <c r="K214" s="32">
        <f>IF(Source!I127&lt;&gt;0, ROUND(I214/Source!I127, 2), 0)</f>
        <v>165.91</v>
      </c>
      <c r="P214" s="29">
        <f>I214</f>
        <v>1314.96</v>
      </c>
    </row>
    <row r="215" spans="1:22" ht="57" x14ac:dyDescent="0.2">
      <c r="A215" s="21" t="str">
        <f>Source!E128</f>
        <v>23</v>
      </c>
      <c r="B215" s="22" t="str">
        <f>Source!F128</f>
        <v>1.49-9201-1-2/1</v>
      </c>
      <c r="C215" s="22" t="str">
        <f>Source!G128</f>
        <v>Перевозка строительного мусора автосамосвалами грузоподъемностью до 10 т на расстояние 1 км - при механизированной погрузке</v>
      </c>
      <c r="D215" s="23" t="str">
        <f>Source!H128</f>
        <v>т</v>
      </c>
      <c r="E215" s="9">
        <f>Source!I128</f>
        <v>85.017600000000002</v>
      </c>
      <c r="F215" s="25"/>
      <c r="G215" s="24"/>
      <c r="H215" s="9"/>
      <c r="I215" s="9"/>
      <c r="J215" s="26"/>
      <c r="K215" s="26"/>
      <c r="Q215">
        <f>ROUND((Source!BZ128/100)*ROUND((Source!AF128*Source!AV128)*Source!I128, 2), 2)</f>
        <v>0</v>
      </c>
      <c r="R215">
        <f>Source!X128</f>
        <v>0</v>
      </c>
      <c r="S215">
        <f>ROUND((Source!CA128/100)*ROUND((Source!AF128*Source!AV128)*Source!I128, 2), 2)</f>
        <v>0</v>
      </c>
      <c r="T215">
        <f>Source!Y128</f>
        <v>0</v>
      </c>
      <c r="U215">
        <f>ROUND((175/100)*ROUND((Source!AE128*Source!AV128)*Source!I128, 2), 2)</f>
        <v>4677.66</v>
      </c>
      <c r="V215">
        <f>ROUND((108/100)*ROUND(Source!CS128*Source!I128, 2), 2)</f>
        <v>2886.79</v>
      </c>
    </row>
    <row r="216" spans="1:22" ht="14.25" x14ac:dyDescent="0.2">
      <c r="A216" s="21"/>
      <c r="B216" s="22"/>
      <c r="C216" s="22" t="s">
        <v>453</v>
      </c>
      <c r="D216" s="23"/>
      <c r="E216" s="9"/>
      <c r="F216" s="25">
        <f>Source!AM128</f>
        <v>57.83</v>
      </c>
      <c r="G216" s="24" t="str">
        <f>Source!DE128</f>
        <v/>
      </c>
      <c r="H216" s="9">
        <f>Source!AV128</f>
        <v>1</v>
      </c>
      <c r="I216" s="9">
        <f>IF(Source!BB128&lt;&gt; 0, Source!BB128, 1)</f>
        <v>1</v>
      </c>
      <c r="J216" s="26">
        <f>Source!Q128</f>
        <v>4916.57</v>
      </c>
      <c r="K216" s="26"/>
    </row>
    <row r="217" spans="1:22" ht="14.25" x14ac:dyDescent="0.2">
      <c r="A217" s="21"/>
      <c r="B217" s="22"/>
      <c r="C217" s="22" t="s">
        <v>454</v>
      </c>
      <c r="D217" s="23"/>
      <c r="E217" s="9"/>
      <c r="F217" s="25">
        <f>Source!AN128</f>
        <v>31.44</v>
      </c>
      <c r="G217" s="24" t="str">
        <f>Source!DF128</f>
        <v/>
      </c>
      <c r="H217" s="9">
        <f>Source!AV128</f>
        <v>1</v>
      </c>
      <c r="I217" s="9">
        <f>IF(Source!BS128&lt;&gt; 0, Source!BS128, 1)</f>
        <v>1</v>
      </c>
      <c r="J217" s="28">
        <f>Source!R128</f>
        <v>2672.95</v>
      </c>
      <c r="K217" s="26"/>
    </row>
    <row r="218" spans="1:22" ht="15" x14ac:dyDescent="0.25">
      <c r="A218" s="31"/>
      <c r="B218" s="31"/>
      <c r="C218" s="31"/>
      <c r="D218" s="31"/>
      <c r="E218" s="31"/>
      <c r="F218" s="31"/>
      <c r="G218" s="31"/>
      <c r="H218" s="31"/>
      <c r="I218" s="63">
        <f>J216</f>
        <v>4916.57</v>
      </c>
      <c r="J218" s="63"/>
      <c r="K218" s="32">
        <f>IF(Source!I128&lt;&gt;0, ROUND(I218/Source!I128, 2), 0)</f>
        <v>57.83</v>
      </c>
      <c r="P218" s="29">
        <f>I218</f>
        <v>4916.57</v>
      </c>
    </row>
    <row r="219" spans="1:22" ht="57" x14ac:dyDescent="0.2">
      <c r="A219" s="21" t="str">
        <f>Source!E129</f>
        <v>24</v>
      </c>
      <c r="B219" s="22" t="str">
        <f>Source!F129</f>
        <v>1.49-9201-1-3/1</v>
      </c>
      <c r="C219" s="22" t="str">
        <f>Source!G129</f>
        <v>Перевозка строительного мусора автосамосвалами грузоподъемностью до 10 т - добавляется на каждый последующий 1 км до 100 км</v>
      </c>
      <c r="D219" s="23" t="str">
        <f>Source!H129</f>
        <v>т</v>
      </c>
      <c r="E219" s="9">
        <f>Source!I129</f>
        <v>92.943359999999998</v>
      </c>
      <c r="F219" s="25"/>
      <c r="G219" s="24"/>
      <c r="H219" s="9"/>
      <c r="I219" s="9"/>
      <c r="J219" s="26"/>
      <c r="K219" s="26"/>
      <c r="Q219">
        <f>ROUND((Source!BZ129/100)*ROUND((Source!AF129*Source!AV129)*Source!I129, 2), 2)</f>
        <v>0</v>
      </c>
      <c r="R219">
        <f>Source!X129</f>
        <v>0</v>
      </c>
      <c r="S219">
        <f>ROUND((Source!CA129/100)*ROUND((Source!AF129*Source!AV129)*Source!I129, 2), 2)</f>
        <v>0</v>
      </c>
      <c r="T219">
        <f>Source!Y129</f>
        <v>0</v>
      </c>
      <c r="U219">
        <f>ROUND((175/100)*ROUND((Source!AE129*Source!AV129)*Source!I129, 2), 2)</f>
        <v>123515.46</v>
      </c>
      <c r="V219">
        <f>ROUND((108/100)*ROUND(Source!CS129*Source!I129, 2), 2)</f>
        <v>76226.679999999993</v>
      </c>
    </row>
    <row r="220" spans="1:22" x14ac:dyDescent="0.2">
      <c r="C220" s="27" t="str">
        <f>"Объем: "&amp;Source!I129&amp;"="&amp;Source!I128&amp;"+"&amp;""&amp;Source!I127&amp;""</f>
        <v>Объем: 92,94336=85,0176+7,92576</v>
      </c>
    </row>
    <row r="221" spans="1:22" ht="14.25" x14ac:dyDescent="0.2">
      <c r="A221" s="21"/>
      <c r="B221" s="22"/>
      <c r="C221" s="22" t="s">
        <v>453</v>
      </c>
      <c r="D221" s="23"/>
      <c r="E221" s="9"/>
      <c r="F221" s="25">
        <f>Source!AM129</f>
        <v>27.39</v>
      </c>
      <c r="G221" s="24" t="str">
        <f>Source!DE129</f>
        <v>*51</v>
      </c>
      <c r="H221" s="9">
        <f>Source!AV129</f>
        <v>1</v>
      </c>
      <c r="I221" s="9">
        <f>IF(Source!BB129&lt;&gt; 0, Source!BB129, 1)</f>
        <v>1</v>
      </c>
      <c r="J221" s="26">
        <f>Source!Q129</f>
        <v>129831.65</v>
      </c>
      <c r="K221" s="26"/>
    </row>
    <row r="222" spans="1:22" ht="14.25" x14ac:dyDescent="0.2">
      <c r="A222" s="21"/>
      <c r="B222" s="22"/>
      <c r="C222" s="22" t="s">
        <v>454</v>
      </c>
      <c r="D222" s="23"/>
      <c r="E222" s="9"/>
      <c r="F222" s="25">
        <f>Source!AN129</f>
        <v>14.89</v>
      </c>
      <c r="G222" s="24" t="str">
        <f>Source!DF129</f>
        <v>*51</v>
      </c>
      <c r="H222" s="9">
        <f>Source!AV129</f>
        <v>1</v>
      </c>
      <c r="I222" s="9">
        <f>IF(Source!BS129&lt;&gt; 0, Source!BS129, 1)</f>
        <v>1</v>
      </c>
      <c r="J222" s="28">
        <f>Source!R129</f>
        <v>70580.259999999995</v>
      </c>
      <c r="K222" s="26"/>
    </row>
    <row r="223" spans="1:22" ht="15" x14ac:dyDescent="0.25">
      <c r="A223" s="31"/>
      <c r="B223" s="31"/>
      <c r="C223" s="31"/>
      <c r="D223" s="31"/>
      <c r="E223" s="31"/>
      <c r="F223" s="31"/>
      <c r="G223" s="31"/>
      <c r="H223" s="31"/>
      <c r="I223" s="63">
        <f>J221</f>
        <v>129831.65</v>
      </c>
      <c r="J223" s="63"/>
      <c r="K223" s="32">
        <f>IF(Source!I129&lt;&gt;0, ROUND(I223/Source!I129, 2), 0)</f>
        <v>1396.89</v>
      </c>
      <c r="P223" s="29">
        <f>I223</f>
        <v>129831.65</v>
      </c>
    </row>
    <row r="224" spans="1:22" ht="100.5" customHeight="1" x14ac:dyDescent="0.2">
      <c r="A224" s="21" t="str">
        <f>Source!E130</f>
        <v>25</v>
      </c>
      <c r="B224" s="22" t="str">
        <f>Source!F130</f>
        <v>Коммерческое предложение</v>
      </c>
      <c r="C224" s="22" t="str">
        <f>Source!G130</f>
        <v>Стоимость приемки отходов строительства и сноса (боя кирпичной кладки бетонных и железобетонных изделий, отходов бетона и железобетона, асфальтобетона в кусковой форме) для переработки дробильными комплексами (Базисная стоимость: 150,61= [180,73/1,2]</v>
      </c>
      <c r="D224" s="23" t="str">
        <f>Source!H130</f>
        <v>т</v>
      </c>
      <c r="E224" s="9">
        <f>Source!I130</f>
        <v>92.943359999999998</v>
      </c>
      <c r="F224" s="25">
        <f>Source!AL130</f>
        <v>150.61000000000001</v>
      </c>
      <c r="G224" s="24" t="str">
        <f>Source!DD130</f>
        <v/>
      </c>
      <c r="H224" s="9">
        <f>Source!AW130</f>
        <v>1</v>
      </c>
      <c r="I224" s="9">
        <f>IF(Source!BC130&lt;&gt; 0, Source!BC130, 1)</f>
        <v>1</v>
      </c>
      <c r="J224" s="26">
        <f>Source!P130</f>
        <v>13998.2</v>
      </c>
      <c r="K224" s="26"/>
      <c r="Q224">
        <f>ROUND((Source!BZ130/100)*ROUND((Source!AF130*Source!AV130)*Source!I130, 2), 2)</f>
        <v>0</v>
      </c>
      <c r="R224">
        <f>Source!X130</f>
        <v>0</v>
      </c>
      <c r="S224">
        <f>ROUND((Source!CA130/100)*ROUND((Source!AF130*Source!AV130)*Source!I130, 2), 2)</f>
        <v>0</v>
      </c>
      <c r="T224">
        <f>Source!Y130</f>
        <v>0</v>
      </c>
      <c r="U224">
        <f>ROUND((175/100)*ROUND((Source!AE130*Source!AV130)*Source!I130, 2), 2)</f>
        <v>0</v>
      </c>
      <c r="V224">
        <f>ROUND((108/100)*ROUND(Source!CS130*Source!I130, 2), 2)</f>
        <v>0</v>
      </c>
    </row>
    <row r="225" spans="1:22" ht="15" x14ac:dyDescent="0.25">
      <c r="A225" s="31"/>
      <c r="B225" s="31"/>
      <c r="C225" s="31"/>
      <c r="D225" s="31"/>
      <c r="E225" s="31"/>
      <c r="F225" s="31"/>
      <c r="G225" s="31"/>
      <c r="H225" s="31"/>
      <c r="I225" s="63">
        <f>J224</f>
        <v>13998.2</v>
      </c>
      <c r="J225" s="63"/>
      <c r="K225" s="32">
        <f>IF(Source!I130&lt;&gt;0, ROUND(I225/Source!I130, 2), 0)</f>
        <v>150.61000000000001</v>
      </c>
      <c r="P225" s="29">
        <f>I225</f>
        <v>13998.2</v>
      </c>
    </row>
    <row r="226" spans="1:22" ht="31.5" customHeight="1" x14ac:dyDescent="0.2">
      <c r="A226" s="21" t="str">
        <f>Source!E131</f>
        <v>26</v>
      </c>
      <c r="B226" s="22" t="str">
        <f>Source!F131</f>
        <v>2.1-3303-1-1/1</v>
      </c>
      <c r="C226" s="22" t="str">
        <f>Source!G131</f>
        <v>Устройство подстилающих и выравнивающих слоев оснований из песка</v>
      </c>
      <c r="D226" s="23" t="str">
        <f>Source!H131</f>
        <v>100 м3</v>
      </c>
      <c r="E226" s="9">
        <f>Source!I131</f>
        <v>6.4500000000000002E-2</v>
      </c>
      <c r="F226" s="25"/>
      <c r="G226" s="24"/>
      <c r="H226" s="9"/>
      <c r="I226" s="9"/>
      <c r="J226" s="26"/>
      <c r="K226" s="26"/>
      <c r="Q226">
        <f>ROUND((Source!BZ131/100)*ROUND((Source!AF131*Source!AV131)*Source!I131, 2), 2)</f>
        <v>139.94</v>
      </c>
      <c r="R226">
        <f>Source!X131</f>
        <v>139.94</v>
      </c>
      <c r="S226">
        <f>ROUND((Source!CA131/100)*ROUND((Source!AF131*Source!AV131)*Source!I131, 2), 2)</f>
        <v>19.989999999999998</v>
      </c>
      <c r="T226">
        <f>Source!Y131</f>
        <v>19.989999999999998</v>
      </c>
      <c r="U226">
        <f>ROUND((175/100)*ROUND((Source!AE131*Source!AV131)*Source!I131, 2), 2)</f>
        <v>363.79</v>
      </c>
      <c r="V226">
        <f>ROUND((108/100)*ROUND(Source!CS131*Source!I131, 2), 2)</f>
        <v>224.51</v>
      </c>
    </row>
    <row r="227" spans="1:22" x14ac:dyDescent="0.2">
      <c r="C227" s="27" t="str">
        <f>"Объем: "&amp;Source!I131&amp;"=(516*"&amp;"0,25*"&amp;"0,05)/"&amp;"100"</f>
        <v>Объем: 0,0645=(516*0,25*0,05)/100</v>
      </c>
    </row>
    <row r="228" spans="1:22" ht="14.25" x14ac:dyDescent="0.2">
      <c r="A228" s="21"/>
      <c r="B228" s="22"/>
      <c r="C228" s="22" t="s">
        <v>452</v>
      </c>
      <c r="D228" s="23"/>
      <c r="E228" s="9"/>
      <c r="F228" s="25">
        <f>Source!AO131</f>
        <v>3099.54</v>
      </c>
      <c r="G228" s="24" t="str">
        <f>Source!DG131</f>
        <v/>
      </c>
      <c r="H228" s="9">
        <f>Source!AV131</f>
        <v>1</v>
      </c>
      <c r="I228" s="9">
        <f>IF(Source!BA131&lt;&gt; 0, Source!BA131, 1)</f>
        <v>1</v>
      </c>
      <c r="J228" s="26">
        <f>Source!S131</f>
        <v>199.92</v>
      </c>
      <c r="K228" s="26"/>
    </row>
    <row r="229" spans="1:22" ht="14.25" x14ac:dyDescent="0.2">
      <c r="A229" s="21"/>
      <c r="B229" s="22"/>
      <c r="C229" s="22" t="s">
        <v>453</v>
      </c>
      <c r="D229" s="23"/>
      <c r="E229" s="9"/>
      <c r="F229" s="25">
        <f>Source!AM131</f>
        <v>7602.23</v>
      </c>
      <c r="G229" s="24" t="str">
        <f>Source!DE131</f>
        <v/>
      </c>
      <c r="H229" s="9">
        <f>Source!AV131</f>
        <v>1</v>
      </c>
      <c r="I229" s="9">
        <f>IF(Source!BB131&lt;&gt; 0, Source!BB131, 1)</f>
        <v>1</v>
      </c>
      <c r="J229" s="26">
        <f>Source!Q131</f>
        <v>490.34</v>
      </c>
      <c r="K229" s="26"/>
    </row>
    <row r="230" spans="1:22" ht="14.25" x14ac:dyDescent="0.2">
      <c r="A230" s="21"/>
      <c r="B230" s="22"/>
      <c r="C230" s="22" t="s">
        <v>454</v>
      </c>
      <c r="D230" s="23"/>
      <c r="E230" s="9"/>
      <c r="F230" s="25">
        <f>Source!AN131</f>
        <v>3222.98</v>
      </c>
      <c r="G230" s="24" t="str">
        <f>Source!DF131</f>
        <v/>
      </c>
      <c r="H230" s="9">
        <f>Source!AV131</f>
        <v>1</v>
      </c>
      <c r="I230" s="9">
        <f>IF(Source!BS131&lt;&gt; 0, Source!BS131, 1)</f>
        <v>1</v>
      </c>
      <c r="J230" s="28">
        <f>Source!R131</f>
        <v>207.88</v>
      </c>
      <c r="K230" s="26"/>
    </row>
    <row r="231" spans="1:22" ht="14.25" x14ac:dyDescent="0.2">
      <c r="A231" s="21"/>
      <c r="B231" s="22"/>
      <c r="C231" s="22" t="s">
        <v>461</v>
      </c>
      <c r="D231" s="23"/>
      <c r="E231" s="9"/>
      <c r="F231" s="25">
        <f>Source!AL131</f>
        <v>65162.05</v>
      </c>
      <c r="G231" s="24" t="str">
        <f>Source!DD131</f>
        <v/>
      </c>
      <c r="H231" s="9">
        <f>Source!AW131</f>
        <v>1</v>
      </c>
      <c r="I231" s="9">
        <f>IF(Source!BC131&lt;&gt; 0, Source!BC131, 1)</f>
        <v>1</v>
      </c>
      <c r="J231" s="26">
        <f>Source!P131</f>
        <v>4202.95</v>
      </c>
      <c r="K231" s="26"/>
    </row>
    <row r="232" spans="1:22" ht="14.25" x14ac:dyDescent="0.2">
      <c r="A232" s="21"/>
      <c r="B232" s="22"/>
      <c r="C232" s="22" t="s">
        <v>455</v>
      </c>
      <c r="D232" s="23" t="s">
        <v>456</v>
      </c>
      <c r="E232" s="9">
        <f>Source!AT131</f>
        <v>70</v>
      </c>
      <c r="F232" s="25"/>
      <c r="G232" s="24"/>
      <c r="H232" s="9"/>
      <c r="I232" s="9"/>
      <c r="J232" s="26">
        <f>SUM(R226:R231)</f>
        <v>139.94</v>
      </c>
      <c r="K232" s="26"/>
    </row>
    <row r="233" spans="1:22" ht="14.25" x14ac:dyDescent="0.2">
      <c r="A233" s="21"/>
      <c r="B233" s="22"/>
      <c r="C233" s="22" t="s">
        <v>457</v>
      </c>
      <c r="D233" s="23" t="s">
        <v>456</v>
      </c>
      <c r="E233" s="9">
        <f>Source!AU131</f>
        <v>10</v>
      </c>
      <c r="F233" s="25"/>
      <c r="G233" s="24"/>
      <c r="H233" s="9"/>
      <c r="I233" s="9"/>
      <c r="J233" s="26">
        <f>SUM(T226:T232)</f>
        <v>19.989999999999998</v>
      </c>
      <c r="K233" s="26"/>
    </row>
    <row r="234" spans="1:22" ht="14.25" x14ac:dyDescent="0.2">
      <c r="A234" s="21"/>
      <c r="B234" s="22"/>
      <c r="C234" s="22" t="s">
        <v>458</v>
      </c>
      <c r="D234" s="23" t="s">
        <v>456</v>
      </c>
      <c r="E234" s="9">
        <f>108</f>
        <v>108</v>
      </c>
      <c r="F234" s="25"/>
      <c r="G234" s="24"/>
      <c r="H234" s="9"/>
      <c r="I234" s="9"/>
      <c r="J234" s="26">
        <f>SUM(V226:V233)</f>
        <v>224.51</v>
      </c>
      <c r="K234" s="26"/>
    </row>
    <row r="235" spans="1:22" ht="14.25" x14ac:dyDescent="0.2">
      <c r="A235" s="21"/>
      <c r="B235" s="22"/>
      <c r="C235" s="22" t="s">
        <v>459</v>
      </c>
      <c r="D235" s="23" t="s">
        <v>460</v>
      </c>
      <c r="E235" s="9">
        <f>Source!AQ131</f>
        <v>16.559999999999999</v>
      </c>
      <c r="F235" s="25"/>
      <c r="G235" s="24" t="str">
        <f>Source!DI131</f>
        <v/>
      </c>
      <c r="H235" s="9">
        <f>Source!AV131</f>
        <v>1</v>
      </c>
      <c r="I235" s="9"/>
      <c r="J235" s="26"/>
      <c r="K235" s="26">
        <f>Source!U131</f>
        <v>1.06812</v>
      </c>
    </row>
    <row r="236" spans="1:22" ht="15" x14ac:dyDescent="0.25">
      <c r="A236" s="31"/>
      <c r="B236" s="31"/>
      <c r="C236" s="31"/>
      <c r="D236" s="31"/>
      <c r="E236" s="31"/>
      <c r="F236" s="31"/>
      <c r="G236" s="31"/>
      <c r="H236" s="31"/>
      <c r="I236" s="63">
        <f>J228+J229+J231+J232+J233+J234</f>
        <v>5277.65</v>
      </c>
      <c r="J236" s="63"/>
      <c r="K236" s="32">
        <f>IF(Source!I131&lt;&gt;0, ROUND(I236/Source!I131, 2), 0)</f>
        <v>81824.03</v>
      </c>
      <c r="P236" s="29">
        <f>I236</f>
        <v>5277.65</v>
      </c>
    </row>
    <row r="237" spans="1:22" ht="42.75" x14ac:dyDescent="0.2">
      <c r="A237" s="21" t="str">
        <f>Source!E132</f>
        <v>27</v>
      </c>
      <c r="B237" s="22" t="str">
        <f>Source!F132</f>
        <v>2.1-3203-1-6/2</v>
      </c>
      <c r="C237" s="22" t="str">
        <f>Source!G132</f>
        <v>Установка бортовых камней бетонных газонных и садовых марка БР60.20.8, при других видах покрытий</v>
      </c>
      <c r="D237" s="23" t="str">
        <f>Source!H132</f>
        <v>100 м</v>
      </c>
      <c r="E237" s="9">
        <f>Source!I132</f>
        <v>5.16</v>
      </c>
      <c r="F237" s="25"/>
      <c r="G237" s="24"/>
      <c r="H237" s="9"/>
      <c r="I237" s="9"/>
      <c r="J237" s="26"/>
      <c r="K237" s="26"/>
      <c r="Q237">
        <f>ROUND((Source!BZ132/100)*ROUND((Source!AF132*Source!AV132)*Source!I132, 2), 2)</f>
        <v>53402.01</v>
      </c>
      <c r="R237">
        <f>Source!X132</f>
        <v>53402.01</v>
      </c>
      <c r="S237">
        <f>ROUND((Source!CA132/100)*ROUND((Source!AF132*Source!AV132)*Source!I132, 2), 2)</f>
        <v>7628.86</v>
      </c>
      <c r="T237">
        <f>Source!Y132</f>
        <v>7628.86</v>
      </c>
      <c r="U237">
        <f>ROUND((175/100)*ROUND((Source!AE132*Source!AV132)*Source!I132, 2), 2)</f>
        <v>938.75</v>
      </c>
      <c r="V237">
        <f>ROUND((108/100)*ROUND(Source!CS132*Source!I132, 2), 2)</f>
        <v>579.34</v>
      </c>
    </row>
    <row r="238" spans="1:22" x14ac:dyDescent="0.2">
      <c r="C238" s="27" t="str">
        <f>"Объем: "&amp;Source!I132&amp;"=516/"&amp;"100"</f>
        <v>Объем: 5,16=516/100</v>
      </c>
    </row>
    <row r="239" spans="1:22" ht="14.25" x14ac:dyDescent="0.2">
      <c r="A239" s="21"/>
      <c r="B239" s="22"/>
      <c r="C239" s="22" t="s">
        <v>452</v>
      </c>
      <c r="D239" s="23"/>
      <c r="E239" s="9"/>
      <c r="F239" s="25">
        <f>Source!AO132</f>
        <v>14784.61</v>
      </c>
      <c r="G239" s="24" t="str">
        <f>Source!DG132</f>
        <v/>
      </c>
      <c r="H239" s="9">
        <f>Source!AV132</f>
        <v>1</v>
      </c>
      <c r="I239" s="9">
        <f>IF(Source!BA132&lt;&gt; 0, Source!BA132, 1)</f>
        <v>1</v>
      </c>
      <c r="J239" s="26">
        <f>Source!S132</f>
        <v>76288.59</v>
      </c>
      <c r="K239" s="26"/>
    </row>
    <row r="240" spans="1:22" ht="14.25" x14ac:dyDescent="0.2">
      <c r="A240" s="21"/>
      <c r="B240" s="22"/>
      <c r="C240" s="22" t="s">
        <v>453</v>
      </c>
      <c r="D240" s="23"/>
      <c r="E240" s="9"/>
      <c r="F240" s="25">
        <f>Source!AM132</f>
        <v>191.49</v>
      </c>
      <c r="G240" s="24" t="str">
        <f>Source!DE132</f>
        <v/>
      </c>
      <c r="H240" s="9">
        <f>Source!AV132</f>
        <v>1</v>
      </c>
      <c r="I240" s="9">
        <f>IF(Source!BB132&lt;&gt; 0, Source!BB132, 1)</f>
        <v>1</v>
      </c>
      <c r="J240" s="26">
        <f>Source!Q132</f>
        <v>988.09</v>
      </c>
      <c r="K240" s="26"/>
    </row>
    <row r="241" spans="1:32" ht="14.25" x14ac:dyDescent="0.2">
      <c r="A241" s="21"/>
      <c r="B241" s="22"/>
      <c r="C241" s="22" t="s">
        <v>454</v>
      </c>
      <c r="D241" s="23"/>
      <c r="E241" s="9"/>
      <c r="F241" s="25">
        <f>Source!AN132</f>
        <v>103.96</v>
      </c>
      <c r="G241" s="24" t="str">
        <f>Source!DF132</f>
        <v/>
      </c>
      <c r="H241" s="9">
        <f>Source!AV132</f>
        <v>1</v>
      </c>
      <c r="I241" s="9">
        <f>IF(Source!BS132&lt;&gt; 0, Source!BS132, 1)</f>
        <v>1</v>
      </c>
      <c r="J241" s="28">
        <f>Source!R132</f>
        <v>536.42999999999995</v>
      </c>
      <c r="K241" s="26"/>
    </row>
    <row r="242" spans="1:32" ht="14.25" x14ac:dyDescent="0.2">
      <c r="A242" s="21"/>
      <c r="B242" s="22"/>
      <c r="C242" s="22" t="s">
        <v>461</v>
      </c>
      <c r="D242" s="23"/>
      <c r="E242" s="9"/>
      <c r="F242" s="25">
        <f>Source!AL132</f>
        <v>32322.400000000001</v>
      </c>
      <c r="G242" s="24" t="str">
        <f>Source!DD132</f>
        <v/>
      </c>
      <c r="H242" s="9">
        <f>Source!AW132</f>
        <v>1</v>
      </c>
      <c r="I242" s="9">
        <f>IF(Source!BC132&lt;&gt; 0, Source!BC132, 1)</f>
        <v>1</v>
      </c>
      <c r="J242" s="26">
        <f>Source!P132</f>
        <v>166783.57999999999</v>
      </c>
      <c r="K242" s="26"/>
    </row>
    <row r="243" spans="1:32" ht="14.25" x14ac:dyDescent="0.2">
      <c r="A243" s="21"/>
      <c r="B243" s="22"/>
      <c r="C243" s="22" t="s">
        <v>455</v>
      </c>
      <c r="D243" s="23" t="s">
        <v>456</v>
      </c>
      <c r="E243" s="9">
        <f>Source!AT132</f>
        <v>70</v>
      </c>
      <c r="F243" s="25"/>
      <c r="G243" s="24"/>
      <c r="H243" s="9"/>
      <c r="I243" s="9"/>
      <c r="J243" s="26">
        <f>SUM(R237:R242)</f>
        <v>53402.01</v>
      </c>
      <c r="K243" s="26"/>
    </row>
    <row r="244" spans="1:32" ht="14.25" x14ac:dyDescent="0.2">
      <c r="A244" s="21"/>
      <c r="B244" s="22"/>
      <c r="C244" s="22" t="s">
        <v>457</v>
      </c>
      <c r="D244" s="23" t="s">
        <v>456</v>
      </c>
      <c r="E244" s="9">
        <f>Source!AU132</f>
        <v>10</v>
      </c>
      <c r="F244" s="25"/>
      <c r="G244" s="24"/>
      <c r="H244" s="9"/>
      <c r="I244" s="9"/>
      <c r="J244" s="26">
        <f>SUM(T237:T243)</f>
        <v>7628.86</v>
      </c>
      <c r="K244" s="26"/>
    </row>
    <row r="245" spans="1:32" ht="14.25" x14ac:dyDescent="0.2">
      <c r="A245" s="21"/>
      <c r="B245" s="22"/>
      <c r="C245" s="22" t="s">
        <v>458</v>
      </c>
      <c r="D245" s="23" t="s">
        <v>456</v>
      </c>
      <c r="E245" s="9">
        <f>108</f>
        <v>108</v>
      </c>
      <c r="F245" s="25"/>
      <c r="G245" s="24"/>
      <c r="H245" s="9"/>
      <c r="I245" s="9"/>
      <c r="J245" s="26">
        <f>SUM(V237:V244)</f>
        <v>579.34</v>
      </c>
      <c r="K245" s="26"/>
    </row>
    <row r="246" spans="1:32" ht="14.25" x14ac:dyDescent="0.2">
      <c r="A246" s="21"/>
      <c r="B246" s="22"/>
      <c r="C246" s="22" t="s">
        <v>459</v>
      </c>
      <c r="D246" s="23" t="s">
        <v>460</v>
      </c>
      <c r="E246" s="9">
        <f>Source!AQ132</f>
        <v>72.959999999999994</v>
      </c>
      <c r="F246" s="25"/>
      <c r="G246" s="24" t="str">
        <f>Source!DI132</f>
        <v/>
      </c>
      <c r="H246" s="9">
        <f>Source!AV132</f>
        <v>1</v>
      </c>
      <c r="I246" s="9"/>
      <c r="J246" s="26"/>
      <c r="K246" s="26">
        <f>Source!U132</f>
        <v>376.47359999999998</v>
      </c>
    </row>
    <row r="247" spans="1:32" ht="15" x14ac:dyDescent="0.25">
      <c r="A247" s="31"/>
      <c r="B247" s="31"/>
      <c r="C247" s="31"/>
      <c r="D247" s="31"/>
      <c r="E247" s="31"/>
      <c r="F247" s="31"/>
      <c r="G247" s="31"/>
      <c r="H247" s="31"/>
      <c r="I247" s="63">
        <f>J239+J240+J242+J243+J244+J245</f>
        <v>305670.46999999997</v>
      </c>
      <c r="J247" s="63"/>
      <c r="K247" s="32">
        <f>IF(Source!I132&lt;&gt;0, ROUND(I247/Source!I132, 2), 0)</f>
        <v>59238.46</v>
      </c>
      <c r="P247" s="29">
        <f>I247</f>
        <v>305670.46999999997</v>
      </c>
    </row>
    <row r="249" spans="1:32" ht="30" x14ac:dyDescent="0.25">
      <c r="A249" s="59" t="str">
        <f>CONCATENATE("Итого по разделу: ",IF(Source!G134&lt;&gt;"Новый раздел", Source!G134, ""))</f>
        <v xml:space="preserve">Итого по разделу: Раздел 11. Замена\устройство бортового камня садового(для оснований площадок детских, спортивных, воркаут) </v>
      </c>
      <c r="B249" s="59"/>
      <c r="C249" s="59"/>
      <c r="D249" s="59"/>
      <c r="E249" s="59"/>
      <c r="F249" s="59"/>
      <c r="G249" s="59"/>
      <c r="H249" s="59"/>
      <c r="I249" s="60">
        <f>SUM(P190:P248)</f>
        <v>616003.30000000005</v>
      </c>
      <c r="J249" s="61"/>
      <c r="K249" s="34"/>
      <c r="AF249" s="35" t="str">
        <f>CONCATENATE("Итого по разделу: ",IF(Source!G134&lt;&gt;"Новый раздел", Source!G134, ""))</f>
        <v xml:space="preserve">Итого по разделу: Раздел 11. Замена\устройство бортового камня садового(для оснований площадок детских, спортивных, воркаут) </v>
      </c>
    </row>
    <row r="250" spans="1:32" ht="6.75" customHeight="1" x14ac:dyDescent="0.2"/>
    <row r="251" spans="1:32" ht="14.25" x14ac:dyDescent="0.2">
      <c r="C251" s="57" t="str">
        <f>Source!H162</f>
        <v>Итого</v>
      </c>
      <c r="D251" s="57"/>
      <c r="E251" s="57"/>
      <c r="F251" s="57"/>
      <c r="G251" s="57"/>
      <c r="H251" s="57"/>
      <c r="I251" s="58">
        <f>IF(Source!F162=0, "", Source!F162)</f>
        <v>616003.30000000005</v>
      </c>
      <c r="J251" s="58"/>
    </row>
    <row r="252" spans="1:32" ht="14.25" x14ac:dyDescent="0.2">
      <c r="C252" s="57" t="str">
        <f>Source!H163</f>
        <v>НДС 20%</v>
      </c>
      <c r="D252" s="57"/>
      <c r="E252" s="57"/>
      <c r="F252" s="57"/>
      <c r="G252" s="57"/>
      <c r="H252" s="57"/>
      <c r="I252" s="58">
        <f>IF(Source!F163=0, "", Source!F163)</f>
        <v>123200.66</v>
      </c>
      <c r="J252" s="58"/>
    </row>
    <row r="253" spans="1:32" ht="14.25" x14ac:dyDescent="0.2">
      <c r="C253" s="57" t="str">
        <f>Source!H164</f>
        <v>Всего</v>
      </c>
      <c r="D253" s="57"/>
      <c r="E253" s="57"/>
      <c r="F253" s="57"/>
      <c r="G253" s="57"/>
      <c r="H253" s="57"/>
      <c r="I253" s="58">
        <f>IF(Source!F164=0, "", Source!F164)</f>
        <v>739203.96</v>
      </c>
      <c r="J253" s="58"/>
    </row>
    <row r="255" spans="1:32" ht="16.5" x14ac:dyDescent="0.25">
      <c r="A255" s="62" t="str">
        <f>CONCATENATE("Раздел: ",IF(Source!G166&lt;&gt;"Новый раздел", Source!G166, ""))</f>
        <v>Раздел: Раздел 20.2 Ремонт газона (посевной) 10см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</row>
    <row r="256" spans="1:32" ht="57" x14ac:dyDescent="0.2">
      <c r="A256" s="21" t="str">
        <f>Source!E170</f>
        <v>28</v>
      </c>
      <c r="B256" s="22" t="str">
        <f>Source!F170</f>
        <v>2.49-3101-3-3/1</v>
      </c>
      <c r="C256" s="22" t="str">
        <f>Source!G170</f>
        <v>Разработка грунта с погрузкой на автомобили-самосвалы экскаваторами с ковшом вместимостью 0,5 м3, группа грунтов 1-3</v>
      </c>
      <c r="D256" s="23" t="str">
        <f>Source!H170</f>
        <v>100 м3</v>
      </c>
      <c r="E256" s="9">
        <f>Source!I170</f>
        <v>0.51300000000000001</v>
      </c>
      <c r="F256" s="25"/>
      <c r="G256" s="24"/>
      <c r="H256" s="9"/>
      <c r="I256" s="9"/>
      <c r="J256" s="26"/>
      <c r="K256" s="26"/>
      <c r="Q256">
        <f>ROUND((Source!BZ170/100)*ROUND((Source!AF170*Source!AV170)*Source!I170, 2), 2)</f>
        <v>103.2</v>
      </c>
      <c r="R256">
        <f>Source!X170</f>
        <v>103.2</v>
      </c>
      <c r="S256">
        <f>ROUND((Source!CA170/100)*ROUND((Source!AF170*Source!AV170)*Source!I170, 2), 2)</f>
        <v>14.74</v>
      </c>
      <c r="T256">
        <f>Source!Y170</f>
        <v>14.74</v>
      </c>
      <c r="U256">
        <f>ROUND((175/100)*ROUND((Source!AE170*Source!AV170)*Source!I170, 2), 2)</f>
        <v>3082.77</v>
      </c>
      <c r="V256">
        <f>ROUND((108/100)*ROUND(Source!CS170*Source!I170, 2), 2)</f>
        <v>1902.51</v>
      </c>
    </row>
    <row r="257" spans="1:22" x14ac:dyDescent="0.2">
      <c r="C257" s="27" t="str">
        <f>"Объем: "&amp;Source!I170&amp;"=(570*"&amp;"0,1*"&amp;"0,9)/"&amp;"100"</f>
        <v>Объем: 0,513=(570*0,1*0,9)/100</v>
      </c>
    </row>
    <row r="258" spans="1:22" ht="14.25" x14ac:dyDescent="0.2">
      <c r="A258" s="21"/>
      <c r="B258" s="22"/>
      <c r="C258" s="22" t="s">
        <v>452</v>
      </c>
      <c r="D258" s="23"/>
      <c r="E258" s="9"/>
      <c r="F258" s="25">
        <f>Source!AO170</f>
        <v>287.38</v>
      </c>
      <c r="G258" s="24" t="str">
        <f>Source!DG170</f>
        <v/>
      </c>
      <c r="H258" s="9">
        <f>Source!AV170</f>
        <v>1</v>
      </c>
      <c r="I258" s="9">
        <f>IF(Source!BA170&lt;&gt; 0, Source!BA170, 1)</f>
        <v>1</v>
      </c>
      <c r="J258" s="26">
        <f>Source!S170</f>
        <v>147.43</v>
      </c>
      <c r="K258" s="26"/>
    </row>
    <row r="259" spans="1:22" ht="14.25" x14ac:dyDescent="0.2">
      <c r="A259" s="21"/>
      <c r="B259" s="22"/>
      <c r="C259" s="22" t="s">
        <v>453</v>
      </c>
      <c r="D259" s="23"/>
      <c r="E259" s="9"/>
      <c r="F259" s="25">
        <f>Source!AM170</f>
        <v>8779.01</v>
      </c>
      <c r="G259" s="24" t="str">
        <f>Source!DE170</f>
        <v/>
      </c>
      <c r="H259" s="9">
        <f>Source!AV170</f>
        <v>1</v>
      </c>
      <c r="I259" s="9">
        <f>IF(Source!BB170&lt;&gt; 0, Source!BB170, 1)</f>
        <v>1</v>
      </c>
      <c r="J259" s="26">
        <f>Source!Q170</f>
        <v>4503.63</v>
      </c>
      <c r="K259" s="26"/>
    </row>
    <row r="260" spans="1:22" ht="14.25" x14ac:dyDescent="0.2">
      <c r="A260" s="21"/>
      <c r="B260" s="22"/>
      <c r="C260" s="22" t="s">
        <v>454</v>
      </c>
      <c r="D260" s="23"/>
      <c r="E260" s="9"/>
      <c r="F260" s="25">
        <f>Source!AN170</f>
        <v>3433.88</v>
      </c>
      <c r="G260" s="24" t="str">
        <f>Source!DF170</f>
        <v/>
      </c>
      <c r="H260" s="9">
        <f>Source!AV170</f>
        <v>1</v>
      </c>
      <c r="I260" s="9">
        <f>IF(Source!BS170&lt;&gt; 0, Source!BS170, 1)</f>
        <v>1</v>
      </c>
      <c r="J260" s="28">
        <f>Source!R170</f>
        <v>1761.58</v>
      </c>
      <c r="K260" s="26"/>
    </row>
    <row r="261" spans="1:22" ht="14.25" x14ac:dyDescent="0.2">
      <c r="A261" s="21"/>
      <c r="B261" s="22"/>
      <c r="C261" s="22" t="s">
        <v>455</v>
      </c>
      <c r="D261" s="23" t="s">
        <v>456</v>
      </c>
      <c r="E261" s="9">
        <f>Source!AT170</f>
        <v>70</v>
      </c>
      <c r="F261" s="25"/>
      <c r="G261" s="24"/>
      <c r="H261" s="9"/>
      <c r="I261" s="9"/>
      <c r="J261" s="26">
        <f>SUM(R256:R260)</f>
        <v>103.2</v>
      </c>
      <c r="K261" s="26"/>
    </row>
    <row r="262" spans="1:22" ht="14.25" x14ac:dyDescent="0.2">
      <c r="A262" s="21"/>
      <c r="B262" s="22"/>
      <c r="C262" s="22" t="s">
        <v>457</v>
      </c>
      <c r="D262" s="23" t="s">
        <v>456</v>
      </c>
      <c r="E262" s="9">
        <f>Source!AU170</f>
        <v>10</v>
      </c>
      <c r="F262" s="25"/>
      <c r="G262" s="24"/>
      <c r="H262" s="9"/>
      <c r="I262" s="9"/>
      <c r="J262" s="26">
        <f>SUM(T256:T261)</f>
        <v>14.74</v>
      </c>
      <c r="K262" s="26"/>
    </row>
    <row r="263" spans="1:22" ht="14.25" x14ac:dyDescent="0.2">
      <c r="A263" s="21"/>
      <c r="B263" s="22"/>
      <c r="C263" s="22" t="s">
        <v>458</v>
      </c>
      <c r="D263" s="23" t="s">
        <v>456</v>
      </c>
      <c r="E263" s="9">
        <f>108</f>
        <v>108</v>
      </c>
      <c r="F263" s="25"/>
      <c r="G263" s="24"/>
      <c r="H263" s="9"/>
      <c r="I263" s="9"/>
      <c r="J263" s="26">
        <f>SUM(V256:V262)</f>
        <v>1902.51</v>
      </c>
      <c r="K263" s="26"/>
    </row>
    <row r="264" spans="1:22" ht="14.25" x14ac:dyDescent="0.2">
      <c r="A264" s="21"/>
      <c r="B264" s="22"/>
      <c r="C264" s="22" t="s">
        <v>459</v>
      </c>
      <c r="D264" s="23" t="s">
        <v>460</v>
      </c>
      <c r="E264" s="9">
        <f>Source!AQ170</f>
        <v>1.59</v>
      </c>
      <c r="F264" s="25"/>
      <c r="G264" s="24" t="str">
        <f>Source!DI170</f>
        <v/>
      </c>
      <c r="H264" s="9">
        <f>Source!AV170</f>
        <v>1</v>
      </c>
      <c r="I264" s="9"/>
      <c r="J264" s="26"/>
      <c r="K264" s="26">
        <f>Source!U170</f>
        <v>0.81567000000000001</v>
      </c>
    </row>
    <row r="265" spans="1:22" ht="15" x14ac:dyDescent="0.25">
      <c r="A265" s="31"/>
      <c r="B265" s="31"/>
      <c r="C265" s="31"/>
      <c r="D265" s="31"/>
      <c r="E265" s="31"/>
      <c r="F265" s="31"/>
      <c r="G265" s="31"/>
      <c r="H265" s="31"/>
      <c r="I265" s="63">
        <f>J258+J259+J261+J262+J263</f>
        <v>6671.51</v>
      </c>
      <c r="J265" s="63"/>
      <c r="K265" s="32">
        <f>IF(Source!I170&lt;&gt;0, ROUND(I265/Source!I170, 2), 0)</f>
        <v>13004.89</v>
      </c>
      <c r="P265" s="29">
        <f>I265</f>
        <v>6671.51</v>
      </c>
    </row>
    <row r="266" spans="1:22" ht="57" x14ac:dyDescent="0.2">
      <c r="A266" s="21" t="str">
        <f>Source!E171</f>
        <v>29</v>
      </c>
      <c r="B266" s="22" t="str">
        <f>Source!F171</f>
        <v>2.49-3101-3-3/1</v>
      </c>
      <c r="C266" s="22" t="str">
        <f>Source!G171</f>
        <v>Разработка грунта с погрузкой на автомобили-самосвалы экскаваторами с ковшом вместимостью 0,5 м3, группа грунтов 1-3</v>
      </c>
      <c r="D266" s="23" t="str">
        <f>Source!H171</f>
        <v>100 м3</v>
      </c>
      <c r="E266" s="9">
        <f>Source!I171</f>
        <v>5.1299999999999998E-2</v>
      </c>
      <c r="F266" s="25"/>
      <c r="G266" s="24"/>
      <c r="H266" s="9"/>
      <c r="I266" s="9"/>
      <c r="J266" s="26"/>
      <c r="K266" s="26"/>
      <c r="Q266">
        <f>ROUND((Source!BZ171/100)*ROUND((Source!AF171*Source!AV171)*Source!I171, 2), 2)</f>
        <v>10.32</v>
      </c>
      <c r="R266">
        <f>Source!X171</f>
        <v>10.32</v>
      </c>
      <c r="S266">
        <f>ROUND((Source!CA171/100)*ROUND((Source!AF171*Source!AV171)*Source!I171, 2), 2)</f>
        <v>1.47</v>
      </c>
      <c r="T266">
        <f>Source!Y171</f>
        <v>1.47</v>
      </c>
      <c r="U266">
        <f>ROUND((175/100)*ROUND((Source!AE171*Source!AV171)*Source!I171, 2), 2)</f>
        <v>308.27999999999997</v>
      </c>
      <c r="V266">
        <f>ROUND((108/100)*ROUND(Source!CS171*Source!I171, 2), 2)</f>
        <v>190.25</v>
      </c>
    </row>
    <row r="267" spans="1:22" x14ac:dyDescent="0.2">
      <c r="C267" s="27" t="str">
        <f>"Объем: "&amp;Source!I171&amp;"=(570*"&amp;"0,1*"&amp;"0,9*"&amp;"0,1)/"&amp;"100"</f>
        <v>Объем: 0,0513=(570*0,1*0,9*0,1)/100</v>
      </c>
    </row>
    <row r="268" spans="1:22" ht="14.25" x14ac:dyDescent="0.2">
      <c r="A268" s="21"/>
      <c r="B268" s="22"/>
      <c r="C268" s="22" t="s">
        <v>452</v>
      </c>
      <c r="D268" s="23"/>
      <c r="E268" s="9"/>
      <c r="F268" s="25">
        <f>Source!AO171</f>
        <v>287.38</v>
      </c>
      <c r="G268" s="24" t="str">
        <f>Source!DG171</f>
        <v/>
      </c>
      <c r="H268" s="9">
        <f>Source!AV171</f>
        <v>1</v>
      </c>
      <c r="I268" s="9">
        <f>IF(Source!BA171&lt;&gt; 0, Source!BA171, 1)</f>
        <v>1</v>
      </c>
      <c r="J268" s="26">
        <f>Source!S171</f>
        <v>14.74</v>
      </c>
      <c r="K268" s="26"/>
    </row>
    <row r="269" spans="1:22" ht="14.25" x14ac:dyDescent="0.2">
      <c r="A269" s="21"/>
      <c r="B269" s="22"/>
      <c r="C269" s="22" t="s">
        <v>453</v>
      </c>
      <c r="D269" s="23"/>
      <c r="E269" s="9"/>
      <c r="F269" s="25">
        <f>Source!AM171</f>
        <v>8779.01</v>
      </c>
      <c r="G269" s="24" t="str">
        <f>Source!DE171</f>
        <v/>
      </c>
      <c r="H269" s="9">
        <f>Source!AV171</f>
        <v>1</v>
      </c>
      <c r="I269" s="9">
        <f>IF(Source!BB171&lt;&gt; 0, Source!BB171, 1)</f>
        <v>1</v>
      </c>
      <c r="J269" s="26">
        <f>Source!Q171</f>
        <v>450.36</v>
      </c>
      <c r="K269" s="26"/>
    </row>
    <row r="270" spans="1:22" ht="14.25" x14ac:dyDescent="0.2">
      <c r="A270" s="21"/>
      <c r="B270" s="22"/>
      <c r="C270" s="22" t="s">
        <v>454</v>
      </c>
      <c r="D270" s="23"/>
      <c r="E270" s="9"/>
      <c r="F270" s="25">
        <f>Source!AN171</f>
        <v>3433.88</v>
      </c>
      <c r="G270" s="24" t="str">
        <f>Source!DF171</f>
        <v/>
      </c>
      <c r="H270" s="9">
        <f>Source!AV171</f>
        <v>1</v>
      </c>
      <c r="I270" s="9">
        <f>IF(Source!BS171&lt;&gt; 0, Source!BS171, 1)</f>
        <v>1</v>
      </c>
      <c r="J270" s="28">
        <f>Source!R171</f>
        <v>176.16</v>
      </c>
      <c r="K270" s="26"/>
    </row>
    <row r="271" spans="1:22" ht="14.25" x14ac:dyDescent="0.2">
      <c r="A271" s="21"/>
      <c r="B271" s="22"/>
      <c r="C271" s="22" t="s">
        <v>455</v>
      </c>
      <c r="D271" s="23" t="s">
        <v>456</v>
      </c>
      <c r="E271" s="9">
        <f>Source!AT171</f>
        <v>70</v>
      </c>
      <c r="F271" s="25"/>
      <c r="G271" s="24"/>
      <c r="H271" s="9"/>
      <c r="I271" s="9"/>
      <c r="J271" s="26">
        <f>SUM(R266:R270)</f>
        <v>10.32</v>
      </c>
      <c r="K271" s="26"/>
    </row>
    <row r="272" spans="1:22" ht="14.25" x14ac:dyDescent="0.2">
      <c r="A272" s="21"/>
      <c r="B272" s="22"/>
      <c r="C272" s="22" t="s">
        <v>457</v>
      </c>
      <c r="D272" s="23" t="s">
        <v>456</v>
      </c>
      <c r="E272" s="9">
        <f>Source!AU171</f>
        <v>10</v>
      </c>
      <c r="F272" s="25"/>
      <c r="G272" s="24"/>
      <c r="H272" s="9"/>
      <c r="I272" s="9"/>
      <c r="J272" s="26">
        <f>SUM(T266:T271)</f>
        <v>1.47</v>
      </c>
      <c r="K272" s="26"/>
    </row>
    <row r="273" spans="1:22" ht="14.25" x14ac:dyDescent="0.2">
      <c r="A273" s="21"/>
      <c r="B273" s="22"/>
      <c r="C273" s="22" t="s">
        <v>458</v>
      </c>
      <c r="D273" s="23" t="s">
        <v>456</v>
      </c>
      <c r="E273" s="9">
        <f>108</f>
        <v>108</v>
      </c>
      <c r="F273" s="25"/>
      <c r="G273" s="24"/>
      <c r="H273" s="9"/>
      <c r="I273" s="9"/>
      <c r="J273" s="26">
        <f>SUM(V266:V272)</f>
        <v>190.25</v>
      </c>
      <c r="K273" s="26"/>
    </row>
    <row r="274" spans="1:22" ht="14.25" x14ac:dyDescent="0.2">
      <c r="A274" s="21"/>
      <c r="B274" s="22"/>
      <c r="C274" s="22" t="s">
        <v>459</v>
      </c>
      <c r="D274" s="23" t="s">
        <v>460</v>
      </c>
      <c r="E274" s="9">
        <f>Source!AQ171</f>
        <v>1.59</v>
      </c>
      <c r="F274" s="25"/>
      <c r="G274" s="24" t="str">
        <f>Source!DI171</f>
        <v/>
      </c>
      <c r="H274" s="9">
        <f>Source!AV171</f>
        <v>1</v>
      </c>
      <c r="I274" s="9"/>
      <c r="J274" s="26"/>
      <c r="K274" s="26">
        <f>Source!U171</f>
        <v>8.1567000000000001E-2</v>
      </c>
    </row>
    <row r="275" spans="1:22" ht="15" x14ac:dyDescent="0.25">
      <c r="A275" s="31"/>
      <c r="B275" s="31"/>
      <c r="C275" s="31"/>
      <c r="D275" s="31"/>
      <c r="E275" s="31"/>
      <c r="F275" s="31"/>
      <c r="G275" s="31"/>
      <c r="H275" s="31"/>
      <c r="I275" s="63">
        <f>J268+J269+J271+J272+J273</f>
        <v>667.1400000000001</v>
      </c>
      <c r="J275" s="63"/>
      <c r="K275" s="32">
        <f>IF(Source!I171&lt;&gt;0, ROUND(I275/Source!I171, 2), 0)</f>
        <v>13004.68</v>
      </c>
      <c r="P275" s="29">
        <f>I275</f>
        <v>667.1400000000001</v>
      </c>
    </row>
    <row r="276" spans="1:22" ht="28.5" x14ac:dyDescent="0.2">
      <c r="A276" s="21" t="str">
        <f>Source!E172</f>
        <v>30</v>
      </c>
      <c r="B276" s="22" t="str">
        <f>Source!F172</f>
        <v>1.1-3101-6-1/1</v>
      </c>
      <c r="C276" s="22" t="str">
        <f>Source!G172</f>
        <v>Погрузка грунта вручную в автомобили-самосвалы с выгрузкой</v>
      </c>
      <c r="D276" s="23" t="str">
        <f>Source!H172</f>
        <v>100 м3</v>
      </c>
      <c r="E276" s="9">
        <f>Source!I172</f>
        <v>5.7000000000000002E-3</v>
      </c>
      <c r="F276" s="25"/>
      <c r="G276" s="24"/>
      <c r="H276" s="9"/>
      <c r="I276" s="9"/>
      <c r="J276" s="26"/>
      <c r="K276" s="26"/>
      <c r="Q276">
        <f>ROUND((Source!BZ172/100)*ROUND((Source!AF172*Source!AV172)*Source!I172, 2), 2)</f>
        <v>44.41</v>
      </c>
      <c r="R276">
        <f>Source!X172</f>
        <v>44.41</v>
      </c>
      <c r="S276">
        <f>ROUND((Source!CA172/100)*ROUND((Source!AF172*Source!AV172)*Source!I172, 2), 2)</f>
        <v>6.34</v>
      </c>
      <c r="T276">
        <f>Source!Y172</f>
        <v>6.34</v>
      </c>
      <c r="U276">
        <f>ROUND((175/100)*ROUND((Source!AE172*Source!AV172)*Source!I172, 2), 2)</f>
        <v>0</v>
      </c>
      <c r="V276">
        <f>ROUND((108/100)*ROUND(Source!CS172*Source!I172, 2), 2)</f>
        <v>0</v>
      </c>
    </row>
    <row r="277" spans="1:22" x14ac:dyDescent="0.2">
      <c r="C277" s="27" t="str">
        <f>"Объем: "&amp;Source!I172&amp;"=(570*"&amp;"0,1*"&amp;"0,1)*"&amp;"0,1/"&amp;"100"</f>
        <v>Объем: 0,0057=(570*0,1*0,1)*0,1/100</v>
      </c>
    </row>
    <row r="278" spans="1:22" ht="14.25" x14ac:dyDescent="0.2">
      <c r="A278" s="21"/>
      <c r="B278" s="22"/>
      <c r="C278" s="22" t="s">
        <v>452</v>
      </c>
      <c r="D278" s="23"/>
      <c r="E278" s="9"/>
      <c r="F278" s="25">
        <f>Source!AO172</f>
        <v>11130.3</v>
      </c>
      <c r="G278" s="24" t="str">
        <f>Source!DG172</f>
        <v/>
      </c>
      <c r="H278" s="9">
        <f>Source!AV172</f>
        <v>1</v>
      </c>
      <c r="I278" s="9">
        <f>IF(Source!BA172&lt;&gt; 0, Source!BA172, 1)</f>
        <v>1</v>
      </c>
      <c r="J278" s="26">
        <f>Source!S172</f>
        <v>63.44</v>
      </c>
      <c r="K278" s="26"/>
    </row>
    <row r="279" spans="1:22" ht="14.25" x14ac:dyDescent="0.2">
      <c r="A279" s="21"/>
      <c r="B279" s="22"/>
      <c r="C279" s="22" t="s">
        <v>455</v>
      </c>
      <c r="D279" s="23" t="s">
        <v>456</v>
      </c>
      <c r="E279" s="9">
        <f>Source!AT172</f>
        <v>70</v>
      </c>
      <c r="F279" s="25"/>
      <c r="G279" s="24"/>
      <c r="H279" s="9"/>
      <c r="I279" s="9"/>
      <c r="J279" s="26">
        <f>SUM(R276:R278)</f>
        <v>44.41</v>
      </c>
      <c r="K279" s="26"/>
    </row>
    <row r="280" spans="1:22" ht="14.25" x14ac:dyDescent="0.2">
      <c r="A280" s="21"/>
      <c r="B280" s="22"/>
      <c r="C280" s="22" t="s">
        <v>457</v>
      </c>
      <c r="D280" s="23" t="s">
        <v>456</v>
      </c>
      <c r="E280" s="9">
        <f>Source!AU172</f>
        <v>10</v>
      </c>
      <c r="F280" s="25"/>
      <c r="G280" s="24"/>
      <c r="H280" s="9"/>
      <c r="I280" s="9"/>
      <c r="J280" s="26">
        <f>SUM(T276:T279)</f>
        <v>6.34</v>
      </c>
      <c r="K280" s="26"/>
    </row>
    <row r="281" spans="1:22" ht="14.25" x14ac:dyDescent="0.2">
      <c r="A281" s="21"/>
      <c r="B281" s="22"/>
      <c r="C281" s="22" t="s">
        <v>459</v>
      </c>
      <c r="D281" s="23" t="s">
        <v>460</v>
      </c>
      <c r="E281" s="9">
        <f>Source!AQ172</f>
        <v>83</v>
      </c>
      <c r="F281" s="25"/>
      <c r="G281" s="24" t="str">
        <f>Source!DI172</f>
        <v/>
      </c>
      <c r="H281" s="9">
        <f>Source!AV172</f>
        <v>1</v>
      </c>
      <c r="I281" s="9"/>
      <c r="J281" s="26"/>
      <c r="K281" s="26">
        <f>Source!U172</f>
        <v>0.47310000000000002</v>
      </c>
    </row>
    <row r="282" spans="1:22" ht="15" x14ac:dyDescent="0.25">
      <c r="A282" s="31"/>
      <c r="B282" s="31"/>
      <c r="C282" s="31"/>
      <c r="D282" s="31"/>
      <c r="E282" s="31"/>
      <c r="F282" s="31"/>
      <c r="G282" s="31"/>
      <c r="H282" s="31"/>
      <c r="I282" s="63">
        <f>J278+J279+J280</f>
        <v>114.19</v>
      </c>
      <c r="J282" s="63"/>
      <c r="K282" s="32">
        <f>IF(Source!I172&lt;&gt;0, ROUND(I282/Source!I172, 2), 0)</f>
        <v>20033.330000000002</v>
      </c>
      <c r="P282" s="29">
        <f>I282</f>
        <v>114.19</v>
      </c>
    </row>
    <row r="283" spans="1:22" ht="42.75" x14ac:dyDescent="0.2">
      <c r="A283" s="21" t="str">
        <f>Source!E173</f>
        <v>31</v>
      </c>
      <c r="B283" s="22" t="str">
        <f>Source!F173</f>
        <v>2.49-3401-1-1/1</v>
      </c>
      <c r="C283" s="22" t="str">
        <f>Source!G173</f>
        <v>Перевозка грунта автосамосвалами грузоподъемностью до 10 т на расстояние 1 км</v>
      </c>
      <c r="D283" s="23" t="str">
        <f>Source!H173</f>
        <v>м3</v>
      </c>
      <c r="E283" s="9">
        <f>Source!I173</f>
        <v>57</v>
      </c>
      <c r="F283" s="25"/>
      <c r="G283" s="24"/>
      <c r="H283" s="9"/>
      <c r="I283" s="9"/>
      <c r="J283" s="26"/>
      <c r="K283" s="26"/>
      <c r="Q283">
        <f>ROUND((Source!BZ173/100)*ROUND((Source!AF173*Source!AV173)*Source!I173, 2), 2)</f>
        <v>0</v>
      </c>
      <c r="R283">
        <f>Source!X173</f>
        <v>0</v>
      </c>
      <c r="S283">
        <f>ROUND((Source!CA173/100)*ROUND((Source!AF173*Source!AV173)*Source!I173, 2), 2)</f>
        <v>0</v>
      </c>
      <c r="T283">
        <f>Source!Y173</f>
        <v>0</v>
      </c>
      <c r="U283">
        <f>ROUND((175/100)*ROUND((Source!AE173*Source!AV173)*Source!I173, 2), 2)</f>
        <v>2559.59</v>
      </c>
      <c r="V283">
        <f>ROUND((108/100)*ROUND(Source!CS173*Source!I173, 2), 2)</f>
        <v>1579.63</v>
      </c>
    </row>
    <row r="284" spans="1:22" x14ac:dyDescent="0.2">
      <c r="C284" s="27" t="str">
        <f>"Объем: "&amp;Source!I173&amp;"=570*"&amp;"0,1"</f>
        <v>Объем: 57=570*0,1</v>
      </c>
    </row>
    <row r="285" spans="1:22" ht="14.25" x14ac:dyDescent="0.2">
      <c r="A285" s="21"/>
      <c r="B285" s="22"/>
      <c r="C285" s="22" t="s">
        <v>453</v>
      </c>
      <c r="D285" s="23"/>
      <c r="E285" s="9"/>
      <c r="F285" s="25">
        <f>Source!AM173</f>
        <v>47.27</v>
      </c>
      <c r="G285" s="24" t="str">
        <f>Source!DE173</f>
        <v/>
      </c>
      <c r="H285" s="9">
        <f>Source!AV173</f>
        <v>1</v>
      </c>
      <c r="I285" s="9">
        <f>IF(Source!BB173&lt;&gt; 0, Source!BB173, 1)</f>
        <v>1</v>
      </c>
      <c r="J285" s="26">
        <f>Source!Q173</f>
        <v>2694.39</v>
      </c>
      <c r="K285" s="26"/>
    </row>
    <row r="286" spans="1:22" ht="14.25" x14ac:dyDescent="0.2">
      <c r="A286" s="21"/>
      <c r="B286" s="22"/>
      <c r="C286" s="22" t="s">
        <v>454</v>
      </c>
      <c r="D286" s="23"/>
      <c r="E286" s="9"/>
      <c r="F286" s="25">
        <f>Source!AN173</f>
        <v>25.66</v>
      </c>
      <c r="G286" s="24" t="str">
        <f>Source!DF173</f>
        <v/>
      </c>
      <c r="H286" s="9">
        <f>Source!AV173</f>
        <v>1</v>
      </c>
      <c r="I286" s="9">
        <f>IF(Source!BS173&lt;&gt; 0, Source!BS173, 1)</f>
        <v>1</v>
      </c>
      <c r="J286" s="28">
        <f>Source!R173</f>
        <v>1462.62</v>
      </c>
      <c r="K286" s="26"/>
    </row>
    <row r="287" spans="1:22" ht="15" x14ac:dyDescent="0.25">
      <c r="A287" s="31"/>
      <c r="B287" s="31"/>
      <c r="C287" s="31"/>
      <c r="D287" s="31"/>
      <c r="E287" s="31"/>
      <c r="F287" s="31"/>
      <c r="G287" s="31"/>
      <c r="H287" s="31"/>
      <c r="I287" s="63">
        <f>J285</f>
        <v>2694.39</v>
      </c>
      <c r="J287" s="63"/>
      <c r="K287" s="32">
        <f>IF(Source!I173&lt;&gt;0, ROUND(I287/Source!I173, 2), 0)</f>
        <v>47.27</v>
      </c>
      <c r="P287" s="29">
        <f>I287</f>
        <v>2694.39</v>
      </c>
    </row>
    <row r="288" spans="1:22" ht="57" x14ac:dyDescent="0.2">
      <c r="A288" s="21" t="str">
        <f>Source!E174</f>
        <v>32</v>
      </c>
      <c r="B288" s="22" t="str">
        <f>Source!F174</f>
        <v>2.49-3401-1-2/1</v>
      </c>
      <c r="C288" s="22" t="str">
        <f>Source!G174</f>
        <v>Перевозка грунта автосамосвалами грузоподъемностью до 10 т - добавляется на каждый последующий 1 км до 100 км (к поз. 49-3401-1-1)</v>
      </c>
      <c r="D288" s="23" t="str">
        <f>Source!H174</f>
        <v>м3</v>
      </c>
      <c r="E288" s="9">
        <f>Source!I174</f>
        <v>57</v>
      </c>
      <c r="F288" s="25"/>
      <c r="G288" s="24"/>
      <c r="H288" s="9"/>
      <c r="I288" s="9"/>
      <c r="J288" s="26"/>
      <c r="K288" s="26"/>
      <c r="Q288">
        <f>ROUND((Source!BZ174/100)*ROUND((Source!AF174*Source!AV174)*Source!I174, 2), 2)</f>
        <v>0</v>
      </c>
      <c r="R288">
        <f>Source!X174</f>
        <v>0</v>
      </c>
      <c r="S288">
        <f>ROUND((Source!CA174/100)*ROUND((Source!AF174*Source!AV174)*Source!I174, 2), 2)</f>
        <v>0</v>
      </c>
      <c r="T288">
        <f>Source!Y174</f>
        <v>0</v>
      </c>
      <c r="U288">
        <f>ROUND((175/100)*ROUND((Source!AE174*Source!AV174)*Source!I174, 2), 2)</f>
        <v>44600.22</v>
      </c>
      <c r="V288">
        <f>ROUND((108/100)*ROUND(Source!CS174*Source!I174, 2), 2)</f>
        <v>27524.71</v>
      </c>
    </row>
    <row r="289" spans="1:22" ht="14.25" x14ac:dyDescent="0.2">
      <c r="A289" s="21"/>
      <c r="B289" s="22"/>
      <c r="C289" s="22" t="s">
        <v>453</v>
      </c>
      <c r="D289" s="23"/>
      <c r="E289" s="9"/>
      <c r="F289" s="25">
        <f>Source!AM174</f>
        <v>15.25</v>
      </c>
      <c r="G289" s="24" t="str">
        <f>Source!DE174</f>
        <v>*54</v>
      </c>
      <c r="H289" s="9">
        <f>Source!AV174</f>
        <v>1</v>
      </c>
      <c r="I289" s="9">
        <f>IF(Source!BB174&lt;&gt; 0, Source!BB174, 1)</f>
        <v>1</v>
      </c>
      <c r="J289" s="26">
        <f>Source!Q174</f>
        <v>46939.5</v>
      </c>
      <c r="K289" s="26"/>
    </row>
    <row r="290" spans="1:22" ht="14.25" x14ac:dyDescent="0.2">
      <c r="A290" s="21"/>
      <c r="B290" s="22"/>
      <c r="C290" s="22" t="s">
        <v>454</v>
      </c>
      <c r="D290" s="23"/>
      <c r="E290" s="9"/>
      <c r="F290" s="25">
        <f>Source!AN174</f>
        <v>8.2799999999999994</v>
      </c>
      <c r="G290" s="24" t="str">
        <f>Source!DF174</f>
        <v>*54</v>
      </c>
      <c r="H290" s="9">
        <f>Source!AV174</f>
        <v>1</v>
      </c>
      <c r="I290" s="9">
        <f>IF(Source!BS174&lt;&gt; 0, Source!BS174, 1)</f>
        <v>1</v>
      </c>
      <c r="J290" s="28">
        <f>Source!R174</f>
        <v>25485.84</v>
      </c>
      <c r="K290" s="26"/>
    </row>
    <row r="291" spans="1:22" ht="15" x14ac:dyDescent="0.25">
      <c r="A291" s="31"/>
      <c r="B291" s="31"/>
      <c r="C291" s="31"/>
      <c r="D291" s="31"/>
      <c r="E291" s="31"/>
      <c r="F291" s="31"/>
      <c r="G291" s="31"/>
      <c r="H291" s="31"/>
      <c r="I291" s="63">
        <f>J289</f>
        <v>46939.5</v>
      </c>
      <c r="J291" s="63"/>
      <c r="K291" s="32">
        <f>IF(Source!I174&lt;&gt;0, ROUND(I291/Source!I174, 2), 0)</f>
        <v>823.5</v>
      </c>
      <c r="P291" s="29">
        <f>I291</f>
        <v>46939.5</v>
      </c>
    </row>
    <row r="292" spans="1:22" ht="85.5" x14ac:dyDescent="0.2">
      <c r="A292" s="21" t="str">
        <f>Source!E175</f>
        <v>33</v>
      </c>
      <c r="B292" s="22" t="str">
        <f>Source!F175</f>
        <v>Коммерческое предложение</v>
      </c>
      <c r="C292" s="22" t="str">
        <f>Source!G175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D292" s="23" t="str">
        <f>Source!H175</f>
        <v/>
      </c>
      <c r="E292" s="9">
        <f>Source!I175</f>
        <v>79.8</v>
      </c>
      <c r="F292" s="25">
        <f>Source!AL175</f>
        <v>100.3</v>
      </c>
      <c r="G292" s="24" t="str">
        <f>Source!DD175</f>
        <v/>
      </c>
      <c r="H292" s="9">
        <f>Source!AW175</f>
        <v>1</v>
      </c>
      <c r="I292" s="9">
        <f>IF(Source!BC175&lt;&gt; 0, Source!BC175, 1)</f>
        <v>1</v>
      </c>
      <c r="J292" s="26">
        <f>Source!P175</f>
        <v>8003.94</v>
      </c>
      <c r="K292" s="26"/>
      <c r="Q292">
        <f>ROUND((Source!BZ175/100)*ROUND((Source!AF175*Source!AV175)*Source!I175, 2), 2)</f>
        <v>0</v>
      </c>
      <c r="R292">
        <f>Source!X175</f>
        <v>0</v>
      </c>
      <c r="S292">
        <f>ROUND((Source!CA175/100)*ROUND((Source!AF175*Source!AV175)*Source!I175, 2), 2)</f>
        <v>0</v>
      </c>
      <c r="T292">
        <f>Source!Y175</f>
        <v>0</v>
      </c>
      <c r="U292">
        <f>ROUND((175/100)*ROUND((Source!AE175*Source!AV175)*Source!I175, 2), 2)</f>
        <v>0</v>
      </c>
      <c r="V292">
        <f>ROUND((108/100)*ROUND(Source!CS175*Source!I175, 2), 2)</f>
        <v>0</v>
      </c>
    </row>
    <row r="293" spans="1:22" x14ac:dyDescent="0.2">
      <c r="C293" s="27" t="str">
        <f>"Объем: "&amp;Source!I175&amp;"="&amp;Source!I173&amp;"*"&amp;"1,4"</f>
        <v>Объем: 79,8=57*1,4</v>
      </c>
    </row>
    <row r="294" spans="1:22" ht="15" x14ac:dyDescent="0.25">
      <c r="A294" s="31"/>
      <c r="B294" s="31"/>
      <c r="C294" s="31"/>
      <c r="D294" s="31"/>
      <c r="E294" s="31"/>
      <c r="F294" s="31"/>
      <c r="G294" s="31"/>
      <c r="H294" s="31"/>
      <c r="I294" s="63">
        <f>J292</f>
        <v>8003.94</v>
      </c>
      <c r="J294" s="63"/>
      <c r="K294" s="32">
        <f>IF(Source!I175&lt;&gt;0, ROUND(I294/Source!I175, 2), 0)</f>
        <v>100.3</v>
      </c>
      <c r="P294" s="29">
        <f>I294</f>
        <v>8003.94</v>
      </c>
    </row>
    <row r="295" spans="1:22" ht="57" x14ac:dyDescent="0.2">
      <c r="A295" s="21" t="str">
        <f>Source!E176</f>
        <v>34</v>
      </c>
      <c r="B295" s="22" t="str">
        <f>Source!F176</f>
        <v>5.4-3203-3-3/1</v>
      </c>
      <c r="C295" s="22" t="str">
        <f>Source!G176</f>
        <v>Подготовка почвы для устройства партерного и обыкновенного газонов с внесением растительной земли слоем 15 см механизированным способом</v>
      </c>
      <c r="D295" s="23" t="str">
        <f>Source!H176</f>
        <v>100 м2</v>
      </c>
      <c r="E295" s="9">
        <f>Source!I176</f>
        <v>4.2750000000000004</v>
      </c>
      <c r="F295" s="25"/>
      <c r="G295" s="24"/>
      <c r="H295" s="9"/>
      <c r="I295" s="9"/>
      <c r="J295" s="26"/>
      <c r="K295" s="26"/>
      <c r="Q295">
        <f>ROUND((Source!BZ176/100)*ROUND((Source!AF176*Source!AV176)*Source!I176, 2), 2)</f>
        <v>17053.12</v>
      </c>
      <c r="R295">
        <f>Source!X176</f>
        <v>17053.12</v>
      </c>
      <c r="S295">
        <f>ROUND((Source!CA176/100)*ROUND((Source!AF176*Source!AV176)*Source!I176, 2), 2)</f>
        <v>2436.16</v>
      </c>
      <c r="T295">
        <f>Source!Y176</f>
        <v>2436.16</v>
      </c>
      <c r="U295">
        <f>ROUND((175/100)*ROUND((Source!AE176*Source!AV176)*Source!I176, 2), 2)</f>
        <v>166.3</v>
      </c>
      <c r="V295">
        <f>ROUND((108/100)*ROUND(Source!CS176*Source!I176, 2), 2)</f>
        <v>102.63</v>
      </c>
    </row>
    <row r="296" spans="1:22" x14ac:dyDescent="0.2">
      <c r="C296" s="27" t="str">
        <f>"Объем: "&amp;Source!I176&amp;"=570*"&amp;"0,75/"&amp;"100"</f>
        <v>Объем: 4,275=570*0,75/100</v>
      </c>
    </row>
    <row r="297" spans="1:22" ht="14.25" x14ac:dyDescent="0.2">
      <c r="A297" s="21"/>
      <c r="B297" s="22"/>
      <c r="C297" s="22" t="s">
        <v>452</v>
      </c>
      <c r="D297" s="23"/>
      <c r="E297" s="9"/>
      <c r="F297" s="25">
        <f>Source!AO176</f>
        <v>5698.62</v>
      </c>
      <c r="G297" s="24" t="str">
        <f>Source!DG176</f>
        <v/>
      </c>
      <c r="H297" s="9">
        <f>Source!AV176</f>
        <v>1</v>
      </c>
      <c r="I297" s="9">
        <f>IF(Source!BA176&lt;&gt; 0, Source!BA176, 1)</f>
        <v>1</v>
      </c>
      <c r="J297" s="26">
        <f>Source!S176</f>
        <v>24361.599999999999</v>
      </c>
      <c r="K297" s="26"/>
    </row>
    <row r="298" spans="1:22" ht="14.25" x14ac:dyDescent="0.2">
      <c r="A298" s="21"/>
      <c r="B298" s="22"/>
      <c r="C298" s="22" t="s">
        <v>453</v>
      </c>
      <c r="D298" s="23"/>
      <c r="E298" s="9"/>
      <c r="F298" s="25">
        <f>Source!AM176</f>
        <v>60.76</v>
      </c>
      <c r="G298" s="24" t="str">
        <f>Source!DE176</f>
        <v/>
      </c>
      <c r="H298" s="9">
        <f>Source!AV176</f>
        <v>1</v>
      </c>
      <c r="I298" s="9">
        <f>IF(Source!BB176&lt;&gt; 0, Source!BB176, 1)</f>
        <v>1</v>
      </c>
      <c r="J298" s="26">
        <f>Source!Q176</f>
        <v>259.75</v>
      </c>
      <c r="K298" s="26"/>
    </row>
    <row r="299" spans="1:22" ht="14.25" x14ac:dyDescent="0.2">
      <c r="A299" s="21"/>
      <c r="B299" s="22"/>
      <c r="C299" s="22" t="s">
        <v>454</v>
      </c>
      <c r="D299" s="23"/>
      <c r="E299" s="9"/>
      <c r="F299" s="25">
        <f>Source!AN176</f>
        <v>22.23</v>
      </c>
      <c r="G299" s="24" t="str">
        <f>Source!DF176</f>
        <v/>
      </c>
      <c r="H299" s="9">
        <f>Source!AV176</f>
        <v>1</v>
      </c>
      <c r="I299" s="9">
        <f>IF(Source!BS176&lt;&gt; 0, Source!BS176, 1)</f>
        <v>1</v>
      </c>
      <c r="J299" s="28">
        <f>Source!R176</f>
        <v>95.03</v>
      </c>
      <c r="K299" s="26"/>
    </row>
    <row r="300" spans="1:22" ht="14.25" x14ac:dyDescent="0.2">
      <c r="A300" s="21"/>
      <c r="B300" s="22"/>
      <c r="C300" s="22" t="s">
        <v>461</v>
      </c>
      <c r="D300" s="23"/>
      <c r="E300" s="9"/>
      <c r="F300" s="25">
        <f>Source!AL176</f>
        <v>11305.05</v>
      </c>
      <c r="G300" s="24" t="str">
        <f>Source!DD176</f>
        <v/>
      </c>
      <c r="H300" s="9">
        <f>Source!AW176</f>
        <v>1</v>
      </c>
      <c r="I300" s="9">
        <f>IF(Source!BC176&lt;&gt; 0, Source!BC176, 1)</f>
        <v>1</v>
      </c>
      <c r="J300" s="26">
        <f>Source!P176</f>
        <v>48329.09</v>
      </c>
      <c r="K300" s="26"/>
    </row>
    <row r="301" spans="1:22" ht="14.25" x14ac:dyDescent="0.2">
      <c r="A301" s="21"/>
      <c r="B301" s="22"/>
      <c r="C301" s="22" t="s">
        <v>455</v>
      </c>
      <c r="D301" s="23" t="s">
        <v>456</v>
      </c>
      <c r="E301" s="9">
        <f>Source!AT176</f>
        <v>70</v>
      </c>
      <c r="F301" s="25"/>
      <c r="G301" s="24"/>
      <c r="H301" s="9"/>
      <c r="I301" s="9"/>
      <c r="J301" s="26">
        <f>SUM(R295:R300)</f>
        <v>17053.12</v>
      </c>
      <c r="K301" s="26"/>
    </row>
    <row r="302" spans="1:22" ht="14.25" x14ac:dyDescent="0.2">
      <c r="A302" s="21"/>
      <c r="B302" s="22"/>
      <c r="C302" s="22" t="s">
        <v>457</v>
      </c>
      <c r="D302" s="23" t="s">
        <v>456</v>
      </c>
      <c r="E302" s="9">
        <f>Source!AU176</f>
        <v>10</v>
      </c>
      <c r="F302" s="25"/>
      <c r="G302" s="24"/>
      <c r="H302" s="9"/>
      <c r="I302" s="9"/>
      <c r="J302" s="26">
        <f>SUM(T295:T301)</f>
        <v>2436.16</v>
      </c>
      <c r="K302" s="26"/>
    </row>
    <row r="303" spans="1:22" ht="14.25" x14ac:dyDescent="0.2">
      <c r="A303" s="21"/>
      <c r="B303" s="22"/>
      <c r="C303" s="22" t="s">
        <v>458</v>
      </c>
      <c r="D303" s="23" t="s">
        <v>456</v>
      </c>
      <c r="E303" s="9">
        <f>108</f>
        <v>108</v>
      </c>
      <c r="F303" s="25"/>
      <c r="G303" s="24"/>
      <c r="H303" s="9"/>
      <c r="I303" s="9"/>
      <c r="J303" s="26">
        <f>SUM(V295:V302)</f>
        <v>102.63</v>
      </c>
      <c r="K303" s="26"/>
    </row>
    <row r="304" spans="1:22" ht="14.25" x14ac:dyDescent="0.2">
      <c r="A304" s="21"/>
      <c r="B304" s="22"/>
      <c r="C304" s="22" t="s">
        <v>459</v>
      </c>
      <c r="D304" s="23" t="s">
        <v>460</v>
      </c>
      <c r="E304" s="9">
        <f>Source!AQ176</f>
        <v>30.8</v>
      </c>
      <c r="F304" s="25"/>
      <c r="G304" s="24" t="str">
        <f>Source!DI176</f>
        <v/>
      </c>
      <c r="H304" s="9">
        <f>Source!AV176</f>
        <v>1</v>
      </c>
      <c r="I304" s="9"/>
      <c r="J304" s="26"/>
      <c r="K304" s="26">
        <f>Source!U176</f>
        <v>131.67000000000002</v>
      </c>
    </row>
    <row r="305" spans="1:22" ht="15" x14ac:dyDescent="0.25">
      <c r="A305" s="31"/>
      <c r="B305" s="31"/>
      <c r="C305" s="31"/>
      <c r="D305" s="31"/>
      <c r="E305" s="31"/>
      <c r="F305" s="31"/>
      <c r="G305" s="31"/>
      <c r="H305" s="31"/>
      <c r="I305" s="63">
        <f>J297+J298+J300+J301+J302+J303</f>
        <v>92542.35</v>
      </c>
      <c r="J305" s="63"/>
      <c r="K305" s="32">
        <f>IF(Source!I176&lt;&gt;0, ROUND(I305/Source!I176, 2), 0)</f>
        <v>21647.33</v>
      </c>
      <c r="P305" s="29">
        <f>I305</f>
        <v>92542.35</v>
      </c>
    </row>
    <row r="306" spans="1:22" ht="57" x14ac:dyDescent="0.2">
      <c r="A306" s="21" t="str">
        <f>Source!E177</f>
        <v>35</v>
      </c>
      <c r="B306" s="22" t="str">
        <f>Source!F177</f>
        <v>5.4-3203-3-4/1</v>
      </c>
      <c r="C306" s="22" t="str">
        <f>Source!G177</f>
        <v>Подготовка почвы для устройства партерного и обыкновенного газонов с внесением растительной земли слоем 15 см вручную</v>
      </c>
      <c r="D306" s="23" t="str">
        <f>Source!H177</f>
        <v>100 м2</v>
      </c>
      <c r="E306" s="9">
        <f>Source!I177</f>
        <v>1.425</v>
      </c>
      <c r="F306" s="25"/>
      <c r="G306" s="24"/>
      <c r="H306" s="9"/>
      <c r="I306" s="9"/>
      <c r="J306" s="26"/>
      <c r="K306" s="26"/>
      <c r="Q306">
        <f>ROUND((Source!BZ177/100)*ROUND((Source!AF177*Source!AV177)*Source!I177, 2), 2)</f>
        <v>8489.64</v>
      </c>
      <c r="R306">
        <f>Source!X177</f>
        <v>8489.64</v>
      </c>
      <c r="S306">
        <f>ROUND((Source!CA177/100)*ROUND((Source!AF177*Source!AV177)*Source!I177, 2), 2)</f>
        <v>1212.81</v>
      </c>
      <c r="T306">
        <f>Source!Y177</f>
        <v>1212.81</v>
      </c>
      <c r="U306">
        <f>ROUND((175/100)*ROUND((Source!AE177*Source!AV177)*Source!I177, 2), 2)</f>
        <v>0</v>
      </c>
      <c r="V306">
        <f>ROUND((108/100)*ROUND(Source!CS177*Source!I177, 2), 2)</f>
        <v>0</v>
      </c>
    </row>
    <row r="307" spans="1:22" x14ac:dyDescent="0.2">
      <c r="C307" s="27" t="str">
        <f>"Объем: "&amp;Source!I177&amp;"=570*"&amp;"0,25/"&amp;"100"</f>
        <v>Объем: 1,425=570*0,25/100</v>
      </c>
    </row>
    <row r="308" spans="1:22" ht="14.25" x14ac:dyDescent="0.2">
      <c r="A308" s="21"/>
      <c r="B308" s="22"/>
      <c r="C308" s="22" t="s">
        <v>452</v>
      </c>
      <c r="D308" s="23"/>
      <c r="E308" s="9"/>
      <c r="F308" s="25">
        <f>Source!AO177</f>
        <v>8510.92</v>
      </c>
      <c r="G308" s="24" t="str">
        <f>Source!DG177</f>
        <v/>
      </c>
      <c r="H308" s="9">
        <f>Source!AV177</f>
        <v>1</v>
      </c>
      <c r="I308" s="9">
        <f>IF(Source!BA177&lt;&gt; 0, Source!BA177, 1)</f>
        <v>1</v>
      </c>
      <c r="J308" s="26">
        <f>Source!S177</f>
        <v>12128.06</v>
      </c>
      <c r="K308" s="26"/>
    </row>
    <row r="309" spans="1:22" ht="14.25" x14ac:dyDescent="0.2">
      <c r="A309" s="21"/>
      <c r="B309" s="22"/>
      <c r="C309" s="22" t="s">
        <v>461</v>
      </c>
      <c r="D309" s="23"/>
      <c r="E309" s="9"/>
      <c r="F309" s="25">
        <f>Source!AL177</f>
        <v>11305.05</v>
      </c>
      <c r="G309" s="24" t="str">
        <f>Source!DD177</f>
        <v/>
      </c>
      <c r="H309" s="9">
        <f>Source!AW177</f>
        <v>1</v>
      </c>
      <c r="I309" s="9">
        <f>IF(Source!BC177&lt;&gt; 0, Source!BC177, 1)</f>
        <v>1</v>
      </c>
      <c r="J309" s="26">
        <f>Source!P177</f>
        <v>16109.7</v>
      </c>
      <c r="K309" s="26"/>
    </row>
    <row r="310" spans="1:22" ht="14.25" x14ac:dyDescent="0.2">
      <c r="A310" s="21"/>
      <c r="B310" s="22"/>
      <c r="C310" s="22" t="s">
        <v>455</v>
      </c>
      <c r="D310" s="23" t="s">
        <v>456</v>
      </c>
      <c r="E310" s="9">
        <f>Source!AT177</f>
        <v>70</v>
      </c>
      <c r="F310" s="25"/>
      <c r="G310" s="24"/>
      <c r="H310" s="9"/>
      <c r="I310" s="9"/>
      <c r="J310" s="26">
        <f>SUM(R306:R309)</f>
        <v>8489.64</v>
      </c>
      <c r="K310" s="26"/>
    </row>
    <row r="311" spans="1:22" ht="14.25" x14ac:dyDescent="0.2">
      <c r="A311" s="21"/>
      <c r="B311" s="22"/>
      <c r="C311" s="22" t="s">
        <v>457</v>
      </c>
      <c r="D311" s="23" t="s">
        <v>456</v>
      </c>
      <c r="E311" s="9">
        <f>Source!AU177</f>
        <v>10</v>
      </c>
      <c r="F311" s="25"/>
      <c r="G311" s="24"/>
      <c r="H311" s="9"/>
      <c r="I311" s="9"/>
      <c r="J311" s="26">
        <f>SUM(T306:T310)</f>
        <v>1212.81</v>
      </c>
      <c r="K311" s="26"/>
    </row>
    <row r="312" spans="1:22" ht="14.25" x14ac:dyDescent="0.2">
      <c r="A312" s="21"/>
      <c r="B312" s="22"/>
      <c r="C312" s="22" t="s">
        <v>459</v>
      </c>
      <c r="D312" s="23" t="s">
        <v>460</v>
      </c>
      <c r="E312" s="9">
        <f>Source!AQ177</f>
        <v>46</v>
      </c>
      <c r="F312" s="25"/>
      <c r="G312" s="24" t="str">
        <f>Source!DI177</f>
        <v/>
      </c>
      <c r="H312" s="9">
        <f>Source!AV177</f>
        <v>1</v>
      </c>
      <c r="I312" s="9"/>
      <c r="J312" s="26"/>
      <c r="K312" s="26">
        <f>Source!U177</f>
        <v>65.55</v>
      </c>
    </row>
    <row r="313" spans="1:22" ht="15" x14ac:dyDescent="0.25">
      <c r="A313" s="31"/>
      <c r="B313" s="31"/>
      <c r="C313" s="31"/>
      <c r="D313" s="31"/>
      <c r="E313" s="31"/>
      <c r="F313" s="31"/>
      <c r="G313" s="31"/>
      <c r="H313" s="31"/>
      <c r="I313" s="63">
        <f>J308+J309+J310+J311</f>
        <v>37940.21</v>
      </c>
      <c r="J313" s="63"/>
      <c r="K313" s="32">
        <f>IF(Source!I177&lt;&gt;0, ROUND(I313/Source!I177, 2), 0)</f>
        <v>26624.71</v>
      </c>
      <c r="P313" s="29">
        <f>I313</f>
        <v>37940.21</v>
      </c>
    </row>
    <row r="314" spans="1:22" ht="57" x14ac:dyDescent="0.2">
      <c r="A314" s="21" t="str">
        <f>Source!E178</f>
        <v>36</v>
      </c>
      <c r="B314" s="22" t="str">
        <f>Source!F178</f>
        <v>5.4-3203-3-5/1</v>
      </c>
      <c r="C314" s="22" t="str">
        <f>Source!G178</f>
        <v>Подготовка почвы для устройства партерного и обыкновенного газонов на каждые 5 см изменения толщины слоя добавлять или исключать</v>
      </c>
      <c r="D314" s="23" t="str">
        <f>Source!H178</f>
        <v>100 м2</v>
      </c>
      <c r="E314" s="9">
        <f>Source!I178</f>
        <v>-5.7</v>
      </c>
      <c r="F314" s="25"/>
      <c r="G314" s="24"/>
      <c r="H314" s="9"/>
      <c r="I314" s="9"/>
      <c r="J314" s="26"/>
      <c r="K314" s="26"/>
      <c r="Q314">
        <f>ROUND((Source!BZ178/100)*ROUND((Source!AF178*Source!AV178)*Source!I178, 2), 2)</f>
        <v>-4643.49</v>
      </c>
      <c r="R314">
        <f>Source!X178</f>
        <v>-4643.49</v>
      </c>
      <c r="S314">
        <f>ROUND((Source!CA178/100)*ROUND((Source!AF178*Source!AV178)*Source!I178, 2), 2)</f>
        <v>-663.36</v>
      </c>
      <c r="T314">
        <f>Source!Y178</f>
        <v>-663.36</v>
      </c>
      <c r="U314">
        <f>ROUND((175/100)*ROUND((Source!AE178*Source!AV178)*Source!I178, 2), 2)</f>
        <v>0</v>
      </c>
      <c r="V314">
        <f>ROUND((108/100)*ROUND(Source!CS178*Source!I178, 2), 2)</f>
        <v>0</v>
      </c>
    </row>
    <row r="315" spans="1:22" x14ac:dyDescent="0.2">
      <c r="C315" s="27" t="str">
        <f>"Объем: "&amp;Source!I178&amp;"=-"&amp;"570/"&amp;"100"</f>
        <v>Объем: -5,7=-570/100</v>
      </c>
    </row>
    <row r="316" spans="1:22" ht="14.25" x14ac:dyDescent="0.2">
      <c r="A316" s="21"/>
      <c r="B316" s="22"/>
      <c r="C316" s="22" t="s">
        <v>452</v>
      </c>
      <c r="D316" s="23"/>
      <c r="E316" s="9"/>
      <c r="F316" s="25">
        <f>Source!AO178</f>
        <v>1163.78</v>
      </c>
      <c r="G316" s="24" t="str">
        <f>Source!DG178</f>
        <v/>
      </c>
      <c r="H316" s="9">
        <f>Source!AV178</f>
        <v>1</v>
      </c>
      <c r="I316" s="9">
        <f>IF(Source!BA178&lt;&gt; 0, Source!BA178, 1)</f>
        <v>1</v>
      </c>
      <c r="J316" s="26">
        <f>Source!S178</f>
        <v>-6633.55</v>
      </c>
      <c r="K316" s="26"/>
    </row>
    <row r="317" spans="1:22" ht="14.25" x14ac:dyDescent="0.2">
      <c r="A317" s="21"/>
      <c r="B317" s="22"/>
      <c r="C317" s="22" t="s">
        <v>461</v>
      </c>
      <c r="D317" s="23"/>
      <c r="E317" s="9"/>
      <c r="F317" s="25">
        <f>Source!AL178</f>
        <v>3768.35</v>
      </c>
      <c r="G317" s="24" t="str">
        <f>Source!DD178</f>
        <v/>
      </c>
      <c r="H317" s="9">
        <f>Source!AW178</f>
        <v>1</v>
      </c>
      <c r="I317" s="9">
        <f>IF(Source!BC178&lt;&gt; 0, Source!BC178, 1)</f>
        <v>1</v>
      </c>
      <c r="J317" s="26">
        <f>Source!P178</f>
        <v>-21479.599999999999</v>
      </c>
      <c r="K317" s="26"/>
    </row>
    <row r="318" spans="1:22" ht="14.25" x14ac:dyDescent="0.2">
      <c r="A318" s="21"/>
      <c r="B318" s="22"/>
      <c r="C318" s="22" t="s">
        <v>455</v>
      </c>
      <c r="D318" s="23" t="s">
        <v>456</v>
      </c>
      <c r="E318" s="9">
        <f>Source!AT178</f>
        <v>70</v>
      </c>
      <c r="F318" s="25"/>
      <c r="G318" s="24"/>
      <c r="H318" s="9"/>
      <c r="I318" s="9"/>
      <c r="J318" s="26">
        <f>SUM(R314:R317)</f>
        <v>-4643.49</v>
      </c>
      <c r="K318" s="26"/>
    </row>
    <row r="319" spans="1:22" ht="14.25" x14ac:dyDescent="0.2">
      <c r="A319" s="21"/>
      <c r="B319" s="22"/>
      <c r="C319" s="22" t="s">
        <v>457</v>
      </c>
      <c r="D319" s="23" t="s">
        <v>456</v>
      </c>
      <c r="E319" s="9">
        <f>Source!AU178</f>
        <v>10</v>
      </c>
      <c r="F319" s="25"/>
      <c r="G319" s="24"/>
      <c r="H319" s="9"/>
      <c r="I319" s="9"/>
      <c r="J319" s="26">
        <f>SUM(T314:T318)</f>
        <v>-663.36</v>
      </c>
      <c r="K319" s="26"/>
    </row>
    <row r="320" spans="1:22" ht="14.25" x14ac:dyDescent="0.2">
      <c r="A320" s="21"/>
      <c r="B320" s="22"/>
      <c r="C320" s="22" t="s">
        <v>459</v>
      </c>
      <c r="D320" s="23" t="s">
        <v>460</v>
      </c>
      <c r="E320" s="9">
        <f>Source!AQ178</f>
        <v>6.29</v>
      </c>
      <c r="F320" s="25"/>
      <c r="G320" s="24" t="str">
        <f>Source!DI178</f>
        <v/>
      </c>
      <c r="H320" s="9">
        <f>Source!AV178</f>
        <v>1</v>
      </c>
      <c r="I320" s="9"/>
      <c r="J320" s="26"/>
      <c r="K320" s="26">
        <f>Source!U178</f>
        <v>-35.853000000000002</v>
      </c>
    </row>
    <row r="321" spans="1:32" ht="15" x14ac:dyDescent="0.25">
      <c r="A321" s="31"/>
      <c r="B321" s="31"/>
      <c r="C321" s="31"/>
      <c r="D321" s="31"/>
      <c r="E321" s="31"/>
      <c r="F321" s="31"/>
      <c r="G321" s="31"/>
      <c r="H321" s="31"/>
      <c r="I321" s="63">
        <f>J316+J317+J318+J319</f>
        <v>-33420</v>
      </c>
      <c r="J321" s="63"/>
      <c r="K321" s="32">
        <f>IF(Source!I178&lt;&gt;0, ROUND(I321/Source!I178, 2), 0)</f>
        <v>5863.16</v>
      </c>
      <c r="P321" s="29">
        <f>I321</f>
        <v>-33420</v>
      </c>
    </row>
    <row r="322" spans="1:32" ht="28.5" customHeight="1" x14ac:dyDescent="0.2">
      <c r="A322" s="21" t="str">
        <f>Source!E179</f>
        <v>37</v>
      </c>
      <c r="B322" s="22" t="str">
        <f>Source!F179</f>
        <v>5.4-3203-3-6/1</v>
      </c>
      <c r="C322" s="22" t="str">
        <f>Source!G179</f>
        <v>Посев газонов партерных, мавританских, и обыкновенных вручную</v>
      </c>
      <c r="D322" s="23" t="str">
        <f>Source!H179</f>
        <v>100 м2</v>
      </c>
      <c r="E322" s="9">
        <f>Source!I179</f>
        <v>5.7</v>
      </c>
      <c r="F322" s="25"/>
      <c r="G322" s="24"/>
      <c r="H322" s="9"/>
      <c r="I322" s="9"/>
      <c r="J322" s="26"/>
      <c r="K322" s="26"/>
      <c r="Q322">
        <f>ROUND((Source!BZ179/100)*ROUND((Source!AF179*Source!AV179)*Source!I179, 2), 2)</f>
        <v>4871.99</v>
      </c>
      <c r="R322">
        <f>Source!X179</f>
        <v>4871.99</v>
      </c>
      <c r="S322">
        <f>ROUND((Source!CA179/100)*ROUND((Source!AF179*Source!AV179)*Source!I179, 2), 2)</f>
        <v>696</v>
      </c>
      <c r="T322">
        <f>Source!Y179</f>
        <v>696</v>
      </c>
      <c r="U322">
        <f>ROUND((175/100)*ROUND((Source!AE179*Source!AV179)*Source!I179, 2), 2)</f>
        <v>0</v>
      </c>
      <c r="V322">
        <f>ROUND((108/100)*ROUND(Source!CS179*Source!I179, 2), 2)</f>
        <v>0</v>
      </c>
    </row>
    <row r="323" spans="1:32" x14ac:dyDescent="0.2">
      <c r="C323" s="27" t="str">
        <f>"Объем: "&amp;Source!I179&amp;"=570/"&amp;"100"</f>
        <v>Объем: 5,7=570/100</v>
      </c>
    </row>
    <row r="324" spans="1:32" ht="14.25" x14ac:dyDescent="0.2">
      <c r="A324" s="21"/>
      <c r="B324" s="22"/>
      <c r="C324" s="22" t="s">
        <v>452</v>
      </c>
      <c r="D324" s="23"/>
      <c r="E324" s="9"/>
      <c r="F324" s="25">
        <f>Source!AO179</f>
        <v>1221.05</v>
      </c>
      <c r="G324" s="24" t="str">
        <f>Source!DG179</f>
        <v/>
      </c>
      <c r="H324" s="9">
        <f>Source!AV179</f>
        <v>1</v>
      </c>
      <c r="I324" s="9">
        <f>IF(Source!BA179&lt;&gt; 0, Source!BA179, 1)</f>
        <v>1</v>
      </c>
      <c r="J324" s="26">
        <f>Source!S179</f>
        <v>6959.99</v>
      </c>
      <c r="K324" s="26"/>
    </row>
    <row r="325" spans="1:32" ht="14.25" x14ac:dyDescent="0.2">
      <c r="A325" s="21"/>
      <c r="B325" s="22"/>
      <c r="C325" s="22" t="s">
        <v>461</v>
      </c>
      <c r="D325" s="23"/>
      <c r="E325" s="9"/>
      <c r="F325" s="25">
        <f>Source!AL179</f>
        <v>1564.86</v>
      </c>
      <c r="G325" s="24" t="str">
        <f>Source!DD179</f>
        <v/>
      </c>
      <c r="H325" s="9">
        <f>Source!AW179</f>
        <v>1</v>
      </c>
      <c r="I325" s="9">
        <f>IF(Source!BC179&lt;&gt; 0, Source!BC179, 1)</f>
        <v>1</v>
      </c>
      <c r="J325" s="26">
        <f>Source!P179</f>
        <v>8919.7000000000007</v>
      </c>
      <c r="K325" s="26"/>
    </row>
    <row r="326" spans="1:32" ht="14.25" x14ac:dyDescent="0.2">
      <c r="A326" s="21"/>
      <c r="B326" s="22"/>
      <c r="C326" s="22" t="s">
        <v>455</v>
      </c>
      <c r="D326" s="23" t="s">
        <v>456</v>
      </c>
      <c r="E326" s="9">
        <f>Source!AT179</f>
        <v>70</v>
      </c>
      <c r="F326" s="25"/>
      <c r="G326" s="24"/>
      <c r="H326" s="9"/>
      <c r="I326" s="9"/>
      <c r="J326" s="26">
        <f>SUM(R322:R325)</f>
        <v>4871.99</v>
      </c>
      <c r="K326" s="26"/>
    </row>
    <row r="327" spans="1:32" ht="14.25" x14ac:dyDescent="0.2">
      <c r="A327" s="21"/>
      <c r="B327" s="22"/>
      <c r="C327" s="22" t="s">
        <v>457</v>
      </c>
      <c r="D327" s="23" t="s">
        <v>456</v>
      </c>
      <c r="E327" s="9">
        <f>Source!AU179</f>
        <v>10</v>
      </c>
      <c r="F327" s="25"/>
      <c r="G327" s="24"/>
      <c r="H327" s="9"/>
      <c r="I327" s="9"/>
      <c r="J327" s="26">
        <f>SUM(T322:T326)</f>
        <v>696</v>
      </c>
      <c r="K327" s="26"/>
    </row>
    <row r="328" spans="1:32" ht="14.25" x14ac:dyDescent="0.2">
      <c r="A328" s="21"/>
      <c r="B328" s="22"/>
      <c r="C328" s="22" t="s">
        <v>459</v>
      </c>
      <c r="D328" s="23" t="s">
        <v>460</v>
      </c>
      <c r="E328" s="9">
        <f>Source!AQ179</f>
        <v>6.04</v>
      </c>
      <c r="F328" s="25"/>
      <c r="G328" s="24" t="str">
        <f>Source!DI179</f>
        <v/>
      </c>
      <c r="H328" s="9">
        <f>Source!AV179</f>
        <v>1</v>
      </c>
      <c r="I328" s="9"/>
      <c r="J328" s="26"/>
      <c r="K328" s="26">
        <f>Source!U179</f>
        <v>34.428000000000004</v>
      </c>
    </row>
    <row r="329" spans="1:32" ht="15" x14ac:dyDescent="0.25">
      <c r="A329" s="31"/>
      <c r="B329" s="31"/>
      <c r="C329" s="31"/>
      <c r="D329" s="31"/>
      <c r="E329" s="31"/>
      <c r="F329" s="31"/>
      <c r="G329" s="31"/>
      <c r="H329" s="31"/>
      <c r="I329" s="63">
        <f>J324+J325+J326+J327</f>
        <v>21447.68</v>
      </c>
      <c r="J329" s="63"/>
      <c r="K329" s="32">
        <f>IF(Source!I179&lt;&gt;0, ROUND(I329/Source!I179, 2), 0)</f>
        <v>3762.75</v>
      </c>
      <c r="P329" s="29">
        <f>I329</f>
        <v>21447.68</v>
      </c>
    </row>
    <row r="331" spans="1:32" ht="15" x14ac:dyDescent="0.25">
      <c r="A331" s="59" t="str">
        <f>CONCATENATE("Итого по разделу: ",IF(Source!G181&lt;&gt;"Новый раздел", Source!G181, ""))</f>
        <v>Итого по разделу: Раздел 20.2 Ремонт газона (посевной) 10см</v>
      </c>
      <c r="B331" s="59"/>
      <c r="C331" s="59"/>
      <c r="D331" s="59"/>
      <c r="E331" s="59"/>
      <c r="F331" s="59"/>
      <c r="G331" s="59"/>
      <c r="H331" s="59"/>
      <c r="I331" s="60">
        <f>SUM(P255:P330)</f>
        <v>183600.91</v>
      </c>
      <c r="J331" s="61"/>
      <c r="K331" s="34"/>
      <c r="AF331" s="35" t="str">
        <f>CONCATENATE("Итого по разделу: ",IF(Source!G181&lt;&gt;"Новый раздел", Source!G181, ""))</f>
        <v>Итого по разделу: Раздел 20.2 Ремонт газона (посевной) 10см</v>
      </c>
    </row>
    <row r="332" spans="1:32" ht="8.25" customHeight="1" x14ac:dyDescent="0.2"/>
    <row r="333" spans="1:32" ht="14.25" x14ac:dyDescent="0.2">
      <c r="C333" s="57" t="str">
        <f>Source!H209</f>
        <v>Итого</v>
      </c>
      <c r="D333" s="57"/>
      <c r="E333" s="57"/>
      <c r="F333" s="57"/>
      <c r="G333" s="57"/>
      <c r="H333" s="57"/>
      <c r="I333" s="58">
        <f>IF(Source!F209=0, "", Source!F209)</f>
        <v>183600.91</v>
      </c>
      <c r="J333" s="58"/>
    </row>
    <row r="334" spans="1:32" ht="14.25" x14ac:dyDescent="0.2">
      <c r="C334" s="57" t="str">
        <f>Source!H210</f>
        <v>НДС 20%</v>
      </c>
      <c r="D334" s="57"/>
      <c r="E334" s="57"/>
      <c r="F334" s="57"/>
      <c r="G334" s="57"/>
      <c r="H334" s="57"/>
      <c r="I334" s="58">
        <f>IF(Source!F210=0, "", Source!F210)</f>
        <v>36720.18</v>
      </c>
      <c r="J334" s="58"/>
    </row>
    <row r="335" spans="1:32" ht="14.25" x14ac:dyDescent="0.2">
      <c r="C335" s="57" t="str">
        <f>Source!H211</f>
        <v>Всего</v>
      </c>
      <c r="D335" s="57"/>
      <c r="E335" s="57"/>
      <c r="F335" s="57"/>
      <c r="G335" s="57"/>
      <c r="H335" s="57"/>
      <c r="I335" s="58">
        <f>IF(Source!F211=0, "", Source!F211)</f>
        <v>220321.09</v>
      </c>
      <c r="J335" s="58"/>
    </row>
    <row r="337" spans="1:22" ht="16.5" x14ac:dyDescent="0.25">
      <c r="A337" s="62" t="str">
        <f>CONCATENATE("Раздел: ",IF(Source!G213&lt;&gt;"Новый раздел", Source!G213, ""))</f>
        <v>Раздел: 22.1 Посадка деревьев с комо 0,8х0,6м, высотой от 3м - 8 шт.</v>
      </c>
      <c r="B337" s="62"/>
      <c r="C337" s="62"/>
      <c r="D337" s="62"/>
      <c r="E337" s="62"/>
      <c r="F337" s="62"/>
      <c r="G337" s="62"/>
      <c r="H337" s="62"/>
      <c r="I337" s="62"/>
      <c r="J337" s="62"/>
      <c r="K337" s="62"/>
    </row>
    <row r="338" spans="1:22" ht="72" customHeight="1" x14ac:dyDescent="0.2">
      <c r="A338" s="21" t="str">
        <f>Source!E217</f>
        <v>38</v>
      </c>
      <c r="B338" s="22" t="str">
        <f>Source!F217</f>
        <v>5.4-3103-1-20/1</v>
      </c>
      <c r="C338" s="22" t="str">
        <f>Source!G217</f>
        <v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v>
      </c>
      <c r="D338" s="23" t="str">
        <f>Source!H217</f>
        <v>10 ям</v>
      </c>
      <c r="E338" s="9">
        <f>Source!I217</f>
        <v>0.32</v>
      </c>
      <c r="F338" s="25"/>
      <c r="G338" s="24"/>
      <c r="H338" s="9"/>
      <c r="I338" s="9"/>
      <c r="J338" s="26"/>
      <c r="K338" s="26"/>
      <c r="Q338">
        <f>ROUND((Source!BZ217/100)*ROUND((Source!AF217*Source!AV217)*Source!I217, 2), 2)</f>
        <v>1394.33</v>
      </c>
      <c r="R338">
        <f>Source!X217</f>
        <v>1394.33</v>
      </c>
      <c r="S338">
        <f>ROUND((Source!CA217/100)*ROUND((Source!AF217*Source!AV217)*Source!I217, 2), 2)</f>
        <v>199.19</v>
      </c>
      <c r="T338">
        <f>Source!Y217</f>
        <v>199.19</v>
      </c>
      <c r="U338">
        <f>ROUND((175/100)*ROUND((Source!AE217*Source!AV217)*Source!I217, 2), 2)</f>
        <v>170.78</v>
      </c>
      <c r="V338">
        <f>ROUND((108/100)*ROUND(Source!CS217*Source!I217, 2), 2)</f>
        <v>105.4</v>
      </c>
    </row>
    <row r="339" spans="1:22" x14ac:dyDescent="0.2">
      <c r="C339" s="27" t="str">
        <f>"Объем: "&amp;Source!I217&amp;"=8*"&amp;"0,4/"&amp;"10"</f>
        <v>Объем: 0,32=8*0,4/10</v>
      </c>
    </row>
    <row r="340" spans="1:22" ht="14.25" x14ac:dyDescent="0.2">
      <c r="A340" s="21"/>
      <c r="B340" s="22"/>
      <c r="C340" s="22" t="s">
        <v>452</v>
      </c>
      <c r="D340" s="23"/>
      <c r="E340" s="9"/>
      <c r="F340" s="25">
        <f>Source!AO217</f>
        <v>6224.69</v>
      </c>
      <c r="G340" s="24" t="str">
        <f>Source!DG217</f>
        <v/>
      </c>
      <c r="H340" s="9">
        <f>Source!AV217</f>
        <v>1</v>
      </c>
      <c r="I340" s="9">
        <f>IF(Source!BA217&lt;&gt; 0, Source!BA217, 1)</f>
        <v>1</v>
      </c>
      <c r="J340" s="26">
        <f>Source!S217</f>
        <v>1991.9</v>
      </c>
      <c r="K340" s="26"/>
    </row>
    <row r="341" spans="1:22" ht="14.25" x14ac:dyDescent="0.2">
      <c r="A341" s="21"/>
      <c r="B341" s="22"/>
      <c r="C341" s="22" t="s">
        <v>453</v>
      </c>
      <c r="D341" s="23"/>
      <c r="E341" s="9"/>
      <c r="F341" s="25">
        <f>Source!AM217</f>
        <v>552.27</v>
      </c>
      <c r="G341" s="24" t="str">
        <f>Source!DE217</f>
        <v/>
      </c>
      <c r="H341" s="9">
        <f>Source!AV217</f>
        <v>1</v>
      </c>
      <c r="I341" s="9">
        <f>IF(Source!BB217&lt;&gt; 0, Source!BB217, 1)</f>
        <v>1</v>
      </c>
      <c r="J341" s="26">
        <f>Source!Q217</f>
        <v>176.73</v>
      </c>
      <c r="K341" s="26"/>
    </row>
    <row r="342" spans="1:22" ht="14.25" x14ac:dyDescent="0.2">
      <c r="A342" s="21"/>
      <c r="B342" s="22"/>
      <c r="C342" s="22" t="s">
        <v>454</v>
      </c>
      <c r="D342" s="23"/>
      <c r="E342" s="9"/>
      <c r="F342" s="25">
        <f>Source!AN217</f>
        <v>304.97000000000003</v>
      </c>
      <c r="G342" s="24" t="str">
        <f>Source!DF217</f>
        <v/>
      </c>
      <c r="H342" s="9">
        <f>Source!AV217</f>
        <v>1</v>
      </c>
      <c r="I342" s="9">
        <f>IF(Source!BS217&lt;&gt; 0, Source!BS217, 1)</f>
        <v>1</v>
      </c>
      <c r="J342" s="28">
        <f>Source!R217</f>
        <v>97.59</v>
      </c>
      <c r="K342" s="26"/>
    </row>
    <row r="343" spans="1:22" ht="14.25" x14ac:dyDescent="0.2">
      <c r="A343" s="21"/>
      <c r="B343" s="22"/>
      <c r="C343" s="22" t="s">
        <v>461</v>
      </c>
      <c r="D343" s="23"/>
      <c r="E343" s="9"/>
      <c r="F343" s="25">
        <f>Source!AL217</f>
        <v>6374.45</v>
      </c>
      <c r="G343" s="24" t="str">
        <f>Source!DD217</f>
        <v/>
      </c>
      <c r="H343" s="9">
        <f>Source!AW217</f>
        <v>1</v>
      </c>
      <c r="I343" s="9">
        <f>IF(Source!BC217&lt;&gt; 0, Source!BC217, 1)</f>
        <v>1</v>
      </c>
      <c r="J343" s="26">
        <f>Source!P217</f>
        <v>2039.82</v>
      </c>
      <c r="K343" s="26"/>
    </row>
    <row r="344" spans="1:22" ht="14.25" x14ac:dyDescent="0.2">
      <c r="A344" s="21"/>
      <c r="B344" s="22"/>
      <c r="C344" s="22" t="s">
        <v>455</v>
      </c>
      <c r="D344" s="23" t="s">
        <v>456</v>
      </c>
      <c r="E344" s="9">
        <f>Source!AT217</f>
        <v>70</v>
      </c>
      <c r="F344" s="25"/>
      <c r="G344" s="24"/>
      <c r="H344" s="9"/>
      <c r="I344" s="9"/>
      <c r="J344" s="26">
        <f>SUM(R338:R343)</f>
        <v>1394.33</v>
      </c>
      <c r="K344" s="26"/>
    </row>
    <row r="345" spans="1:22" ht="14.25" x14ac:dyDescent="0.2">
      <c r="A345" s="21"/>
      <c r="B345" s="22"/>
      <c r="C345" s="22" t="s">
        <v>457</v>
      </c>
      <c r="D345" s="23" t="s">
        <v>456</v>
      </c>
      <c r="E345" s="9">
        <f>Source!AU217</f>
        <v>10</v>
      </c>
      <c r="F345" s="25"/>
      <c r="G345" s="24"/>
      <c r="H345" s="9"/>
      <c r="I345" s="9"/>
      <c r="J345" s="26">
        <f>SUM(T338:T344)</f>
        <v>199.19</v>
      </c>
      <c r="K345" s="26"/>
    </row>
    <row r="346" spans="1:22" ht="14.25" x14ac:dyDescent="0.2">
      <c r="A346" s="21"/>
      <c r="B346" s="22"/>
      <c r="C346" s="22" t="s">
        <v>458</v>
      </c>
      <c r="D346" s="23" t="s">
        <v>456</v>
      </c>
      <c r="E346" s="9">
        <f>108</f>
        <v>108</v>
      </c>
      <c r="F346" s="25"/>
      <c r="G346" s="24"/>
      <c r="H346" s="9"/>
      <c r="I346" s="9"/>
      <c r="J346" s="26">
        <f>SUM(V338:V345)</f>
        <v>105.4</v>
      </c>
      <c r="K346" s="26"/>
    </row>
    <row r="347" spans="1:22" ht="14.25" x14ac:dyDescent="0.2">
      <c r="A347" s="21"/>
      <c r="B347" s="22"/>
      <c r="C347" s="22" t="s">
        <v>459</v>
      </c>
      <c r="D347" s="23" t="s">
        <v>460</v>
      </c>
      <c r="E347" s="9">
        <f>Source!AQ217</f>
        <v>34.44</v>
      </c>
      <c r="F347" s="25"/>
      <c r="G347" s="24" t="str">
        <f>Source!DI217</f>
        <v/>
      </c>
      <c r="H347" s="9">
        <f>Source!AV217</f>
        <v>1</v>
      </c>
      <c r="I347" s="9"/>
      <c r="J347" s="26"/>
      <c r="K347" s="26">
        <f>Source!U217</f>
        <v>11.020799999999999</v>
      </c>
    </row>
    <row r="348" spans="1:22" ht="15" x14ac:dyDescent="0.25">
      <c r="A348" s="31"/>
      <c r="B348" s="31"/>
      <c r="C348" s="31"/>
      <c r="D348" s="31"/>
      <c r="E348" s="31"/>
      <c r="F348" s="31"/>
      <c r="G348" s="31"/>
      <c r="H348" s="31"/>
      <c r="I348" s="63">
        <f>J340+J341+J343+J344+J345+J346</f>
        <v>5907.369999999999</v>
      </c>
      <c r="J348" s="63"/>
      <c r="K348" s="32">
        <f>IF(Source!I217&lt;&gt;0, ROUND(I348/Source!I217, 2), 0)</f>
        <v>18460.53</v>
      </c>
      <c r="P348" s="29">
        <f>I348</f>
        <v>5907.369999999999</v>
      </c>
    </row>
    <row r="349" spans="1:22" ht="57" x14ac:dyDescent="0.2">
      <c r="A349" s="21" t="str">
        <f>Source!E218</f>
        <v>39</v>
      </c>
      <c r="B349" s="22" t="str">
        <f>Source!F218</f>
        <v>5.4-3103-3-20/1</v>
      </c>
      <c r="C349" s="22" t="str">
        <f>Source!G218</f>
        <v>Подготовка стандартных посадочных мест вручную, с круглым комом земли размером 0,8х0,6 м с добавлением растительной земли до 100%</v>
      </c>
      <c r="D349" s="23" t="str">
        <f>Source!H218</f>
        <v>10 ям</v>
      </c>
      <c r="E349" s="9">
        <f>Source!I218</f>
        <v>0.48</v>
      </c>
      <c r="F349" s="25"/>
      <c r="G349" s="24"/>
      <c r="H349" s="9"/>
      <c r="I349" s="9"/>
      <c r="J349" s="26"/>
      <c r="K349" s="26"/>
      <c r="Q349">
        <f>ROUND((Source!BZ218/100)*ROUND((Source!AF218*Source!AV218)*Source!I218, 2), 2)</f>
        <v>3567.81</v>
      </c>
      <c r="R349">
        <f>Source!X218</f>
        <v>3567.81</v>
      </c>
      <c r="S349">
        <f>ROUND((Source!CA218/100)*ROUND((Source!AF218*Source!AV218)*Source!I218, 2), 2)</f>
        <v>509.69</v>
      </c>
      <c r="T349">
        <f>Source!Y218</f>
        <v>509.69</v>
      </c>
      <c r="U349">
        <f>ROUND((175/100)*ROUND((Source!AE218*Source!AV218)*Source!I218, 2), 2)</f>
        <v>0</v>
      </c>
      <c r="V349">
        <f>ROUND((108/100)*ROUND(Source!CS218*Source!I218, 2), 2)</f>
        <v>0</v>
      </c>
    </row>
    <row r="350" spans="1:22" x14ac:dyDescent="0.2">
      <c r="C350" s="27" t="str">
        <f>"Объем: "&amp;Source!I218&amp;"=8*"&amp;"0,6/"&amp;"10"</f>
        <v>Объем: 0,48=8*0,6/10</v>
      </c>
    </row>
    <row r="351" spans="1:22" ht="14.25" x14ac:dyDescent="0.2">
      <c r="A351" s="21"/>
      <c r="B351" s="22"/>
      <c r="C351" s="22" t="s">
        <v>452</v>
      </c>
      <c r="D351" s="23"/>
      <c r="E351" s="9"/>
      <c r="F351" s="25">
        <f>Source!AO218</f>
        <v>10618.48</v>
      </c>
      <c r="G351" s="24" t="str">
        <f>Source!DG218</f>
        <v/>
      </c>
      <c r="H351" s="9">
        <f>Source!AV218</f>
        <v>1</v>
      </c>
      <c r="I351" s="9">
        <f>IF(Source!BA218&lt;&gt; 0, Source!BA218, 1)</f>
        <v>1</v>
      </c>
      <c r="J351" s="26">
        <f>Source!S218</f>
        <v>5096.87</v>
      </c>
      <c r="K351" s="26"/>
    </row>
    <row r="352" spans="1:22" ht="14.25" x14ac:dyDescent="0.2">
      <c r="A352" s="21"/>
      <c r="B352" s="22"/>
      <c r="C352" s="22" t="s">
        <v>461</v>
      </c>
      <c r="D352" s="23"/>
      <c r="E352" s="9"/>
      <c r="F352" s="25">
        <f>Source!AL218</f>
        <v>6374.45</v>
      </c>
      <c r="G352" s="24" t="str">
        <f>Source!DD218</f>
        <v/>
      </c>
      <c r="H352" s="9">
        <f>Source!AW218</f>
        <v>1</v>
      </c>
      <c r="I352" s="9">
        <f>IF(Source!BC218&lt;&gt; 0, Source!BC218, 1)</f>
        <v>1</v>
      </c>
      <c r="J352" s="26">
        <f>Source!P218</f>
        <v>3059.74</v>
      </c>
      <c r="K352" s="26"/>
    </row>
    <row r="353" spans="1:22" ht="14.25" x14ac:dyDescent="0.2">
      <c r="A353" s="21"/>
      <c r="B353" s="22"/>
      <c r="C353" s="22" t="s">
        <v>455</v>
      </c>
      <c r="D353" s="23" t="s">
        <v>456</v>
      </c>
      <c r="E353" s="9">
        <f>Source!AT218</f>
        <v>70</v>
      </c>
      <c r="F353" s="25"/>
      <c r="G353" s="24"/>
      <c r="H353" s="9"/>
      <c r="I353" s="9"/>
      <c r="J353" s="26">
        <f>SUM(R349:R352)</f>
        <v>3567.81</v>
      </c>
      <c r="K353" s="26"/>
    </row>
    <row r="354" spans="1:22" ht="14.25" x14ac:dyDescent="0.2">
      <c r="A354" s="21"/>
      <c r="B354" s="22"/>
      <c r="C354" s="22" t="s">
        <v>457</v>
      </c>
      <c r="D354" s="23" t="s">
        <v>456</v>
      </c>
      <c r="E354" s="9">
        <f>Source!AU218</f>
        <v>10</v>
      </c>
      <c r="F354" s="25"/>
      <c r="G354" s="24"/>
      <c r="H354" s="9"/>
      <c r="I354" s="9"/>
      <c r="J354" s="26">
        <f>SUM(T349:T353)</f>
        <v>509.69</v>
      </c>
      <c r="K354" s="26"/>
    </row>
    <row r="355" spans="1:22" ht="14.25" x14ac:dyDescent="0.2">
      <c r="A355" s="21"/>
      <c r="B355" s="22"/>
      <c r="C355" s="22" t="s">
        <v>459</v>
      </c>
      <c r="D355" s="23" t="s">
        <v>460</v>
      </c>
      <c r="E355" s="9">
        <f>Source!AQ218</f>
        <v>58.75</v>
      </c>
      <c r="F355" s="25"/>
      <c r="G355" s="24" t="str">
        <f>Source!DI218</f>
        <v/>
      </c>
      <c r="H355" s="9">
        <f>Source!AV218</f>
        <v>1</v>
      </c>
      <c r="I355" s="9"/>
      <c r="J355" s="26"/>
      <c r="K355" s="26">
        <f>Source!U218</f>
        <v>28.2</v>
      </c>
    </row>
    <row r="356" spans="1:22" ht="15" x14ac:dyDescent="0.25">
      <c r="A356" s="31"/>
      <c r="B356" s="31"/>
      <c r="C356" s="31"/>
      <c r="D356" s="31"/>
      <c r="E356" s="31"/>
      <c r="F356" s="31"/>
      <c r="G356" s="31"/>
      <c r="H356" s="31"/>
      <c r="I356" s="63">
        <f>J351+J352+J353+J354</f>
        <v>12234.11</v>
      </c>
      <c r="J356" s="63"/>
      <c r="K356" s="32">
        <f>IF(Source!I218&lt;&gt;0, ROUND(I356/Source!I218, 2), 0)</f>
        <v>25487.73</v>
      </c>
      <c r="P356" s="29">
        <f>I356</f>
        <v>12234.11</v>
      </c>
    </row>
    <row r="357" spans="1:22" ht="42.75" customHeight="1" x14ac:dyDescent="0.2">
      <c r="A357" s="21" t="str">
        <f>Source!E219</f>
        <v>40</v>
      </c>
      <c r="B357" s="22" t="str">
        <f>Source!F219</f>
        <v>5.4-3103-6-4/1</v>
      </c>
      <c r="C357" s="22" t="str">
        <f>Source!G219</f>
        <v>Посадка деревьев и кустарников с комом земли, диаметром 0,8 м и высотой 0,6 м (без стоимости деревьев и кустарников)</v>
      </c>
      <c r="D357" s="23" t="str">
        <f>Source!H219</f>
        <v>10 шт.</v>
      </c>
      <c r="E357" s="9">
        <f>Source!I219</f>
        <v>0.8</v>
      </c>
      <c r="F357" s="25"/>
      <c r="G357" s="24"/>
      <c r="H357" s="9"/>
      <c r="I357" s="9"/>
      <c r="J357" s="26"/>
      <c r="K357" s="26"/>
      <c r="Q357">
        <f>ROUND((Source!BZ219/100)*ROUND((Source!AF219*Source!AV219)*Source!I219, 2), 2)</f>
        <v>2754.08</v>
      </c>
      <c r="R357">
        <f>Source!X219</f>
        <v>2754.08</v>
      </c>
      <c r="S357">
        <f>ROUND((Source!CA219/100)*ROUND((Source!AF219*Source!AV219)*Source!I219, 2), 2)</f>
        <v>393.44</v>
      </c>
      <c r="T357">
        <f>Source!Y219</f>
        <v>393.44</v>
      </c>
      <c r="U357">
        <f>ROUND((175/100)*ROUND((Source!AE219*Source!AV219)*Source!I219, 2), 2)</f>
        <v>487.92</v>
      </c>
      <c r="V357">
        <f>ROUND((108/100)*ROUND(Source!CS219*Source!I219, 2), 2)</f>
        <v>301.11</v>
      </c>
    </row>
    <row r="358" spans="1:22" x14ac:dyDescent="0.2">
      <c r="C358" s="27" t="str">
        <f>"Объем: "&amp;Source!I219&amp;"=8/"&amp;"10"</f>
        <v>Объем: 0,8=8/10</v>
      </c>
    </row>
    <row r="359" spans="1:22" ht="14.25" x14ac:dyDescent="0.2">
      <c r="A359" s="21"/>
      <c r="B359" s="22"/>
      <c r="C359" s="22" t="s">
        <v>452</v>
      </c>
      <c r="D359" s="23"/>
      <c r="E359" s="9"/>
      <c r="F359" s="25">
        <f>Source!AO219</f>
        <v>4918</v>
      </c>
      <c r="G359" s="24" t="str">
        <f>Source!DG219</f>
        <v/>
      </c>
      <c r="H359" s="9">
        <f>Source!AV219</f>
        <v>1</v>
      </c>
      <c r="I359" s="9">
        <f>IF(Source!BA219&lt;&gt; 0, Source!BA219, 1)</f>
        <v>1</v>
      </c>
      <c r="J359" s="26">
        <f>Source!S219</f>
        <v>3934.4</v>
      </c>
      <c r="K359" s="26"/>
    </row>
    <row r="360" spans="1:22" ht="14.25" x14ac:dyDescent="0.2">
      <c r="A360" s="21"/>
      <c r="B360" s="22"/>
      <c r="C360" s="22" t="s">
        <v>453</v>
      </c>
      <c r="D360" s="23"/>
      <c r="E360" s="9"/>
      <c r="F360" s="25">
        <f>Source!AM219</f>
        <v>1535.65</v>
      </c>
      <c r="G360" s="24" t="str">
        <f>Source!DE219</f>
        <v/>
      </c>
      <c r="H360" s="9">
        <f>Source!AV219</f>
        <v>1</v>
      </c>
      <c r="I360" s="9">
        <f>IF(Source!BB219&lt;&gt; 0, Source!BB219, 1)</f>
        <v>1</v>
      </c>
      <c r="J360" s="26">
        <f>Source!Q219</f>
        <v>1228.52</v>
      </c>
      <c r="K360" s="26"/>
    </row>
    <row r="361" spans="1:22" ht="14.25" x14ac:dyDescent="0.2">
      <c r="A361" s="21"/>
      <c r="B361" s="22"/>
      <c r="C361" s="22" t="s">
        <v>454</v>
      </c>
      <c r="D361" s="23"/>
      <c r="E361" s="9"/>
      <c r="F361" s="25">
        <f>Source!AN219</f>
        <v>348.51</v>
      </c>
      <c r="G361" s="24" t="str">
        <f>Source!DF219</f>
        <v/>
      </c>
      <c r="H361" s="9">
        <f>Source!AV219</f>
        <v>1</v>
      </c>
      <c r="I361" s="9">
        <f>IF(Source!BS219&lt;&gt; 0, Source!BS219, 1)</f>
        <v>1</v>
      </c>
      <c r="J361" s="28">
        <f>Source!R219</f>
        <v>278.81</v>
      </c>
      <c r="K361" s="26"/>
    </row>
    <row r="362" spans="1:22" ht="14.25" x14ac:dyDescent="0.2">
      <c r="A362" s="21"/>
      <c r="B362" s="22"/>
      <c r="C362" s="22" t="s">
        <v>461</v>
      </c>
      <c r="D362" s="23"/>
      <c r="E362" s="9"/>
      <c r="F362" s="25">
        <f>Source!AL219</f>
        <v>830.02</v>
      </c>
      <c r="G362" s="24" t="str">
        <f>Source!DD219</f>
        <v/>
      </c>
      <c r="H362" s="9">
        <f>Source!AW219</f>
        <v>1</v>
      </c>
      <c r="I362" s="9">
        <f>IF(Source!BC219&lt;&gt; 0, Source!BC219, 1)</f>
        <v>1</v>
      </c>
      <c r="J362" s="26">
        <f>Source!P219</f>
        <v>664.02</v>
      </c>
      <c r="K362" s="26"/>
    </row>
    <row r="363" spans="1:22" ht="57.75" customHeight="1" x14ac:dyDescent="0.2">
      <c r="A363" s="21" t="str">
        <f>Source!E220</f>
        <v>40,1</v>
      </c>
      <c r="B363" s="22" t="str">
        <f>Source!F220</f>
        <v>21.4-1-2</v>
      </c>
      <c r="C363" s="22" t="str">
        <f>Source!G220</f>
        <v>Деревья декоративные лиственных пород с комом земли, порода: бархат амурский, вяз, дуб, каштан, клен, липа, орех, ясень, размер кома: диаметр-0,8 м, высота-0,6 м</v>
      </c>
      <c r="D363" s="23" t="str">
        <f>Source!H220</f>
        <v>шт.</v>
      </c>
      <c r="E363" s="9">
        <f>Source!I220</f>
        <v>8</v>
      </c>
      <c r="F363" s="25">
        <f>Source!AK220</f>
        <v>2961.58</v>
      </c>
      <c r="G363" s="33" t="s">
        <v>3</v>
      </c>
      <c r="H363" s="9">
        <f>Source!AW220</f>
        <v>1</v>
      </c>
      <c r="I363" s="9">
        <f>IF(Source!BC220&lt;&gt; 0, Source!BC220, 1)</f>
        <v>1</v>
      </c>
      <c r="J363" s="26">
        <f>Source!O220</f>
        <v>23692.639999999999</v>
      </c>
      <c r="K363" s="26"/>
      <c r="Q363">
        <f>ROUND((Source!BZ220/100)*ROUND((Source!AF220*Source!AV220)*Source!I220, 2), 2)</f>
        <v>0</v>
      </c>
      <c r="R363">
        <f>Source!X220</f>
        <v>0</v>
      </c>
      <c r="S363">
        <f>ROUND((Source!CA220/100)*ROUND((Source!AF220*Source!AV220)*Source!I220, 2), 2)</f>
        <v>0</v>
      </c>
      <c r="T363">
        <f>Source!Y220</f>
        <v>0</v>
      </c>
      <c r="U363">
        <f>ROUND((175/100)*ROUND((Source!AE220*Source!AV220)*Source!I220, 2), 2)</f>
        <v>0</v>
      </c>
      <c r="V363">
        <f>ROUND((108/100)*ROUND(Source!CS220*Source!I220, 2), 2)</f>
        <v>0</v>
      </c>
    </row>
    <row r="364" spans="1:22" ht="14.25" x14ac:dyDescent="0.2">
      <c r="A364" s="21"/>
      <c r="B364" s="22"/>
      <c r="C364" s="22" t="s">
        <v>455</v>
      </c>
      <c r="D364" s="23" t="s">
        <v>456</v>
      </c>
      <c r="E364" s="9">
        <f>Source!AT219</f>
        <v>70</v>
      </c>
      <c r="F364" s="25"/>
      <c r="G364" s="24"/>
      <c r="H364" s="9"/>
      <c r="I364" s="9"/>
      <c r="J364" s="26">
        <f>SUM(R357:R363)</f>
        <v>2754.08</v>
      </c>
      <c r="K364" s="26"/>
    </row>
    <row r="365" spans="1:22" ht="14.25" x14ac:dyDescent="0.2">
      <c r="A365" s="21"/>
      <c r="B365" s="22"/>
      <c r="C365" s="22" t="s">
        <v>457</v>
      </c>
      <c r="D365" s="23" t="s">
        <v>456</v>
      </c>
      <c r="E365" s="9">
        <f>Source!AU219</f>
        <v>10</v>
      </c>
      <c r="F365" s="25"/>
      <c r="G365" s="24"/>
      <c r="H365" s="9"/>
      <c r="I365" s="9"/>
      <c r="J365" s="26">
        <f>SUM(T357:T364)</f>
        <v>393.44</v>
      </c>
      <c r="K365" s="26"/>
    </row>
    <row r="366" spans="1:22" ht="14.25" x14ac:dyDescent="0.2">
      <c r="A366" s="21"/>
      <c r="B366" s="22"/>
      <c r="C366" s="22" t="s">
        <v>458</v>
      </c>
      <c r="D366" s="23" t="s">
        <v>456</v>
      </c>
      <c r="E366" s="9">
        <f>108</f>
        <v>108</v>
      </c>
      <c r="F366" s="25"/>
      <c r="G366" s="24"/>
      <c r="H366" s="9"/>
      <c r="I366" s="9"/>
      <c r="J366" s="26">
        <f>SUM(V357:V365)</f>
        <v>301.11</v>
      </c>
      <c r="K366" s="26"/>
    </row>
    <row r="367" spans="1:22" ht="14.25" x14ac:dyDescent="0.2">
      <c r="A367" s="21"/>
      <c r="B367" s="22"/>
      <c r="C367" s="22" t="s">
        <v>459</v>
      </c>
      <c r="D367" s="23" t="s">
        <v>460</v>
      </c>
      <c r="E367" s="9">
        <f>Source!AQ219</f>
        <v>20.71</v>
      </c>
      <c r="F367" s="25"/>
      <c r="G367" s="24" t="str">
        <f>Source!DI219</f>
        <v/>
      </c>
      <c r="H367" s="9">
        <f>Source!AV219</f>
        <v>1</v>
      </c>
      <c r="I367" s="9"/>
      <c r="J367" s="26"/>
      <c r="K367" s="26">
        <f>Source!U219</f>
        <v>16.568000000000001</v>
      </c>
    </row>
    <row r="368" spans="1:22" ht="15" x14ac:dyDescent="0.25">
      <c r="A368" s="31"/>
      <c r="B368" s="31"/>
      <c r="C368" s="31"/>
      <c r="D368" s="31"/>
      <c r="E368" s="31"/>
      <c r="F368" s="31"/>
      <c r="G368" s="31"/>
      <c r="H368" s="31"/>
      <c r="I368" s="63">
        <f>J359+J360+J362+J364+J365+J366+SUM(J363:J363)</f>
        <v>32968.21</v>
      </c>
      <c r="J368" s="63"/>
      <c r="K368" s="32">
        <f>IF(Source!I219&lt;&gt;0, ROUND(I368/Source!I219, 2), 0)</f>
        <v>41210.26</v>
      </c>
      <c r="P368" s="29">
        <f>I368</f>
        <v>32968.21</v>
      </c>
    </row>
    <row r="370" spans="1:32" ht="15" x14ac:dyDescent="0.25">
      <c r="A370" s="59" t="str">
        <f>CONCATENATE("Итого по разделу: ",IF(Source!G222&lt;&gt;"Новый раздел", Source!G222, ""))</f>
        <v>Итого по разделу: 22.1 Посадка деревьев с комо 0,8х0,6м, высотой от 3м - 8 шт.</v>
      </c>
      <c r="B370" s="59"/>
      <c r="C370" s="59"/>
      <c r="D370" s="59"/>
      <c r="E370" s="59"/>
      <c r="F370" s="59"/>
      <c r="G370" s="59"/>
      <c r="H370" s="59"/>
      <c r="I370" s="60">
        <f>SUM(P337:P369)</f>
        <v>51109.69</v>
      </c>
      <c r="J370" s="61"/>
      <c r="K370" s="34"/>
      <c r="AF370" s="35" t="str">
        <f>CONCATENATE("Итого по разделу: ",IF(Source!G222&lt;&gt;"Новый раздел", Source!G222, ""))</f>
        <v>Итого по разделу: 22.1 Посадка деревьев с комо 0,8х0,6м, высотой от 3м - 8 шт.</v>
      </c>
    </row>
    <row r="372" spans="1:32" ht="14.25" x14ac:dyDescent="0.2">
      <c r="C372" s="57" t="s">
        <v>123</v>
      </c>
      <c r="D372" s="57"/>
      <c r="E372" s="57"/>
      <c r="F372" s="57"/>
      <c r="G372" s="57"/>
      <c r="H372" s="57"/>
      <c r="I372" s="58">
        <f>I370</f>
        <v>51109.69</v>
      </c>
      <c r="J372" s="58"/>
    </row>
    <row r="373" spans="1:32" ht="14.25" x14ac:dyDescent="0.2">
      <c r="C373" s="57" t="s">
        <v>124</v>
      </c>
      <c r="D373" s="57"/>
      <c r="E373" s="57"/>
      <c r="F373" s="57"/>
      <c r="G373" s="57"/>
      <c r="H373" s="57"/>
      <c r="I373" s="58">
        <f>I372*0.2</f>
        <v>10221.938000000002</v>
      </c>
      <c r="J373" s="58"/>
    </row>
    <row r="374" spans="1:32" ht="14.25" x14ac:dyDescent="0.2">
      <c r="C374" s="57" t="s">
        <v>525</v>
      </c>
      <c r="D374" s="57"/>
      <c r="E374" s="57"/>
      <c r="F374" s="57"/>
      <c r="G374" s="57"/>
      <c r="H374" s="57"/>
      <c r="I374" s="58">
        <f>I372+I373</f>
        <v>61331.628000000004</v>
      </c>
      <c r="J374" s="58"/>
    </row>
    <row r="376" spans="1:32" ht="18" customHeight="1" x14ac:dyDescent="0.25">
      <c r="A376" s="62" t="str">
        <f>CONCATENATE("Раздел: ",IF(Source!G251&lt;&gt;"Новый раздел", Source!G251, ""))</f>
        <v xml:space="preserve">Раздел: Раздел 24.1 Устройство покрытия на площадке для игровых видов спорта (1 см - EPDM) </v>
      </c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AE376" s="20" t="str">
        <f>CONCATENATE("Раздел: ",IF(Source!G251&lt;&gt;"Новый раздел", Source!G251, ""))</f>
        <v xml:space="preserve">Раздел: Раздел 24.1 Устройство покрытия на площадке для игровых видов спорта (1 см - EPDM) </v>
      </c>
    </row>
    <row r="377" spans="1:32" ht="46.5" customHeight="1" x14ac:dyDescent="0.2">
      <c r="A377" s="21" t="str">
        <f>Source!E255</f>
        <v>41</v>
      </c>
      <c r="B377" s="22" t="str">
        <f>Source!F255</f>
        <v>5.3-3103-11-1/1</v>
      </c>
      <c r="C377" s="22" t="str">
        <f>Source!G255</f>
        <v>Устройство наливного полиуретанового покрытия спортивных площадок и беговых дорожек толщиной 10 мм</v>
      </c>
      <c r="D377" s="23" t="str">
        <f>Source!H255</f>
        <v>100 м2</v>
      </c>
      <c r="E377" s="9">
        <f>Source!I255</f>
        <v>14</v>
      </c>
      <c r="F377" s="25"/>
      <c r="G377" s="24"/>
      <c r="H377" s="9"/>
      <c r="I377" s="9"/>
      <c r="J377" s="26"/>
      <c r="K377" s="26"/>
      <c r="Q377">
        <f>ROUND((Source!BZ255/100)*ROUND((Source!AF255*Source!AV255)*Source!I255, 2), 2)</f>
        <v>39950.97</v>
      </c>
      <c r="R377">
        <f>Source!X255</f>
        <v>39950.97</v>
      </c>
      <c r="S377">
        <f>ROUND((Source!CA255/100)*ROUND((Source!AF255*Source!AV255)*Source!I255, 2), 2)</f>
        <v>5707.28</v>
      </c>
      <c r="T377">
        <f>Source!Y255</f>
        <v>5707.28</v>
      </c>
      <c r="U377">
        <f>ROUND((175/100)*ROUND((Source!AE255*Source!AV255)*Source!I255, 2), 2)</f>
        <v>50554.77</v>
      </c>
      <c r="V377">
        <f>ROUND((108/100)*ROUND(Source!CS255*Source!I255, 2), 2)</f>
        <v>31199.52</v>
      </c>
    </row>
    <row r="378" spans="1:32" x14ac:dyDescent="0.2">
      <c r="C378" s="27" t="str">
        <f>"Объем: "&amp;Source!I255&amp;"=6114/"&amp;"100"</f>
        <v>Объем: 14=6114/100</v>
      </c>
    </row>
    <row r="379" spans="1:32" ht="14.25" x14ac:dyDescent="0.2">
      <c r="A379" s="21"/>
      <c r="B379" s="22"/>
      <c r="C379" s="22" t="s">
        <v>452</v>
      </c>
      <c r="D379" s="23"/>
      <c r="E379" s="9"/>
      <c r="F379" s="25">
        <f>Source!AO255</f>
        <v>4076.63</v>
      </c>
      <c r="G379" s="24" t="str">
        <f>Source!DG255</f>
        <v/>
      </c>
      <c r="H379" s="9">
        <f>Source!AV255</f>
        <v>1</v>
      </c>
      <c r="I379" s="9">
        <f>IF(Source!BA255&lt;&gt; 0, Source!BA255, 1)</f>
        <v>1</v>
      </c>
      <c r="J379" s="26">
        <f>Source!S255</f>
        <v>57072.82</v>
      </c>
      <c r="K379" s="26"/>
    </row>
    <row r="380" spans="1:32" ht="14.25" x14ac:dyDescent="0.2">
      <c r="A380" s="21"/>
      <c r="B380" s="22"/>
      <c r="C380" s="22" t="s">
        <v>453</v>
      </c>
      <c r="D380" s="23"/>
      <c r="E380" s="9"/>
      <c r="F380" s="25">
        <f>Source!AM255</f>
        <v>2617.25</v>
      </c>
      <c r="G380" s="24" t="str">
        <f>Source!DE255</f>
        <v/>
      </c>
      <c r="H380" s="9">
        <f>Source!AV255</f>
        <v>1</v>
      </c>
      <c r="I380" s="9">
        <f>IF(Source!BB255&lt;&gt; 0, Source!BB255, 1)</f>
        <v>1</v>
      </c>
      <c r="J380" s="26">
        <f>Source!Q255</f>
        <v>36641.5</v>
      </c>
      <c r="K380" s="26"/>
    </row>
    <row r="381" spans="1:32" ht="14.25" x14ac:dyDescent="0.2">
      <c r="A381" s="21"/>
      <c r="B381" s="22"/>
      <c r="C381" s="22" t="s">
        <v>454</v>
      </c>
      <c r="D381" s="23"/>
      <c r="E381" s="9"/>
      <c r="F381" s="25">
        <f>Source!AN255</f>
        <v>2063.46</v>
      </c>
      <c r="G381" s="24" t="str">
        <f>Source!DF255</f>
        <v/>
      </c>
      <c r="H381" s="9">
        <f>Source!AV255</f>
        <v>1</v>
      </c>
      <c r="I381" s="9">
        <f>IF(Source!BS255&lt;&gt; 0, Source!BS255, 1)</f>
        <v>1</v>
      </c>
      <c r="J381" s="28">
        <f>Source!R255</f>
        <v>28888.44</v>
      </c>
      <c r="K381" s="26"/>
    </row>
    <row r="382" spans="1:32" ht="14.25" x14ac:dyDescent="0.2">
      <c r="A382" s="21"/>
      <c r="B382" s="22"/>
      <c r="C382" s="22" t="s">
        <v>461</v>
      </c>
      <c r="D382" s="23"/>
      <c r="E382" s="9"/>
      <c r="F382" s="25">
        <f>Source!AL255</f>
        <v>102359.62</v>
      </c>
      <c r="G382" s="24" t="str">
        <f>Source!DD255</f>
        <v/>
      </c>
      <c r="H382" s="9">
        <f>Source!AW255</f>
        <v>1</v>
      </c>
      <c r="I382" s="9">
        <f>IF(Source!BC255&lt;&gt; 0, Source!BC255, 1)</f>
        <v>1</v>
      </c>
      <c r="J382" s="26">
        <f>Source!P255</f>
        <v>1433034.68</v>
      </c>
      <c r="K382" s="26"/>
    </row>
    <row r="383" spans="1:32" ht="28.5" x14ac:dyDescent="0.2">
      <c r="A383" s="21" t="str">
        <f>Source!E256</f>
        <v>41,1</v>
      </c>
      <c r="B383" s="22" t="str">
        <f>Source!F256</f>
        <v>21.1-25-255</v>
      </c>
      <c r="C383" s="22" t="str">
        <f>Source!G256</f>
        <v>Пленка полиэтиленовая, толщина 0,12 - 0,15 мм</v>
      </c>
      <c r="D383" s="23" t="str">
        <f>Source!H256</f>
        <v>м2</v>
      </c>
      <c r="E383" s="9">
        <f>Source!I256</f>
        <v>-78.400000000000006</v>
      </c>
      <c r="F383" s="25">
        <f>Source!AK256</f>
        <v>12.02</v>
      </c>
      <c r="G383" s="33" t="s">
        <v>3</v>
      </c>
      <c r="H383" s="9">
        <f>Source!AW256</f>
        <v>1</v>
      </c>
      <c r="I383" s="9">
        <f>IF(Source!BC256&lt;&gt; 0, Source!BC256, 1)</f>
        <v>1</v>
      </c>
      <c r="J383" s="26">
        <f>Source!O256</f>
        <v>-942.37</v>
      </c>
      <c r="K383" s="26"/>
      <c r="Q383">
        <f>ROUND((Source!BZ256/100)*ROUND((Source!AF256*Source!AV256)*Source!I256, 2), 2)</f>
        <v>0</v>
      </c>
      <c r="R383">
        <f>Source!X256</f>
        <v>0</v>
      </c>
      <c r="S383">
        <f>ROUND((Source!CA256/100)*ROUND((Source!AF256*Source!AV256)*Source!I256, 2), 2)</f>
        <v>0</v>
      </c>
      <c r="T383">
        <f>Source!Y256</f>
        <v>0</v>
      </c>
      <c r="U383">
        <f>ROUND((175/100)*ROUND((Source!AE256*Source!AV256)*Source!I256, 2), 2)</f>
        <v>0</v>
      </c>
      <c r="V383">
        <f>ROUND((108/100)*ROUND(Source!CS256*Source!I256, 2), 2)</f>
        <v>0</v>
      </c>
    </row>
    <row r="384" spans="1:32" ht="28.5" x14ac:dyDescent="0.2">
      <c r="A384" s="21" t="str">
        <f>Source!E257</f>
        <v>41,2</v>
      </c>
      <c r="B384" s="22" t="str">
        <f>Source!F257</f>
        <v>21.1-25-769</v>
      </c>
      <c r="C384" s="22" t="str">
        <f>Source!G257</f>
        <v>Крошка резиновая гранулированная, фракция 2-3 мм</v>
      </c>
      <c r="D384" s="23" t="str">
        <f>Source!H257</f>
        <v>кг</v>
      </c>
      <c r="E384" s="9">
        <f>Source!I257</f>
        <v>-10290</v>
      </c>
      <c r="F384" s="25">
        <f>Source!AK257</f>
        <v>17.77</v>
      </c>
      <c r="G384" s="33" t="s">
        <v>3</v>
      </c>
      <c r="H384" s="9">
        <f>Source!AW257</f>
        <v>1</v>
      </c>
      <c r="I384" s="9">
        <f>IF(Source!BC257&lt;&gt; 0, Source!BC257, 1)</f>
        <v>1</v>
      </c>
      <c r="J384" s="26">
        <f>Source!O257</f>
        <v>-182853.3</v>
      </c>
      <c r="K384" s="26"/>
      <c r="Q384">
        <f>ROUND((Source!BZ257/100)*ROUND((Source!AF257*Source!AV257)*Source!I257, 2), 2)</f>
        <v>0</v>
      </c>
      <c r="R384">
        <f>Source!X257</f>
        <v>0</v>
      </c>
      <c r="S384">
        <f>ROUND((Source!CA257/100)*ROUND((Source!AF257*Source!AV257)*Source!I257, 2), 2)</f>
        <v>0</v>
      </c>
      <c r="T384">
        <f>Source!Y257</f>
        <v>0</v>
      </c>
      <c r="U384">
        <f>ROUND((175/100)*ROUND((Source!AE257*Source!AV257)*Source!I257, 2), 2)</f>
        <v>0</v>
      </c>
      <c r="V384">
        <f>ROUND((108/100)*ROUND(Source!CS257*Source!I257, 2), 2)</f>
        <v>0</v>
      </c>
    </row>
    <row r="385" spans="1:32" ht="42.75" x14ac:dyDescent="0.2">
      <c r="A385" s="21" t="str">
        <f>Source!E258</f>
        <v>41,3</v>
      </c>
      <c r="B385" s="22" t="str">
        <f>Source!F258</f>
        <v>21.1-25-770</v>
      </c>
      <c r="C385" s="22" t="str">
        <f>Source!G258</f>
        <v>Крошка каучуковая гранулированная, окрашенная в массе, фракция 2-3 мм, цвет черный</v>
      </c>
      <c r="D385" s="23" t="str">
        <f>Source!H258</f>
        <v>кг</v>
      </c>
      <c r="E385" s="9">
        <f>Source!I258</f>
        <v>10290</v>
      </c>
      <c r="F385" s="25">
        <f>Source!AK258</f>
        <v>94.72</v>
      </c>
      <c r="G385" s="33" t="s">
        <v>3</v>
      </c>
      <c r="H385" s="9">
        <f>Source!AW258</f>
        <v>1</v>
      </c>
      <c r="I385" s="9">
        <f>IF(Source!BC258&lt;&gt; 0, Source!BC258, 1)</f>
        <v>1</v>
      </c>
      <c r="J385" s="26">
        <f>Source!O258</f>
        <v>974668.80000000005</v>
      </c>
      <c r="K385" s="26"/>
      <c r="Q385">
        <f>ROUND((Source!BZ258/100)*ROUND((Source!AF258*Source!AV258)*Source!I258, 2), 2)</f>
        <v>0</v>
      </c>
      <c r="R385">
        <f>Source!X258</f>
        <v>0</v>
      </c>
      <c r="S385">
        <f>ROUND((Source!CA258/100)*ROUND((Source!AF258*Source!AV258)*Source!I258, 2), 2)</f>
        <v>0</v>
      </c>
      <c r="T385">
        <f>Source!Y258</f>
        <v>0</v>
      </c>
      <c r="U385">
        <f>ROUND((175/100)*ROUND((Source!AE258*Source!AV258)*Source!I258, 2), 2)</f>
        <v>0</v>
      </c>
      <c r="V385">
        <f>ROUND((108/100)*ROUND(Source!CS258*Source!I258, 2), 2)</f>
        <v>0</v>
      </c>
    </row>
    <row r="386" spans="1:32" ht="14.25" x14ac:dyDescent="0.2">
      <c r="A386" s="21"/>
      <c r="B386" s="22"/>
      <c r="C386" s="22" t="s">
        <v>455</v>
      </c>
      <c r="D386" s="23" t="s">
        <v>456</v>
      </c>
      <c r="E386" s="9">
        <f>Source!AT255</f>
        <v>70</v>
      </c>
      <c r="F386" s="25"/>
      <c r="G386" s="24"/>
      <c r="H386" s="9"/>
      <c r="I386" s="9"/>
      <c r="J386" s="26">
        <f>SUM(R377:R385)</f>
        <v>39950.97</v>
      </c>
      <c r="K386" s="26"/>
    </row>
    <row r="387" spans="1:32" ht="14.25" x14ac:dyDescent="0.2">
      <c r="A387" s="21"/>
      <c r="B387" s="22"/>
      <c r="C387" s="22" t="s">
        <v>457</v>
      </c>
      <c r="D387" s="23" t="s">
        <v>456</v>
      </c>
      <c r="E387" s="9">
        <f>Source!AU255</f>
        <v>10</v>
      </c>
      <c r="F387" s="25"/>
      <c r="G387" s="24"/>
      <c r="H387" s="9"/>
      <c r="I387" s="9"/>
      <c r="J387" s="26">
        <f>SUM(T377:T386)</f>
        <v>5707.28</v>
      </c>
      <c r="K387" s="26"/>
    </row>
    <row r="388" spans="1:32" ht="14.25" x14ac:dyDescent="0.2">
      <c r="A388" s="21"/>
      <c r="B388" s="22"/>
      <c r="C388" s="22" t="s">
        <v>458</v>
      </c>
      <c r="D388" s="23" t="s">
        <v>456</v>
      </c>
      <c r="E388" s="9">
        <f>108</f>
        <v>108</v>
      </c>
      <c r="F388" s="25"/>
      <c r="G388" s="24"/>
      <c r="H388" s="9"/>
      <c r="I388" s="9"/>
      <c r="J388" s="26">
        <f>SUM(V377:V387)</f>
        <v>31199.52</v>
      </c>
      <c r="K388" s="26"/>
    </row>
    <row r="389" spans="1:32" ht="14.25" x14ac:dyDescent="0.2">
      <c r="A389" s="21"/>
      <c r="B389" s="22"/>
      <c r="C389" s="22" t="s">
        <v>459</v>
      </c>
      <c r="D389" s="23" t="s">
        <v>460</v>
      </c>
      <c r="E389" s="9">
        <f>Source!AQ255</f>
        <v>18.440000000000001</v>
      </c>
      <c r="F389" s="25"/>
      <c r="G389" s="24" t="str">
        <f>Source!DI255</f>
        <v/>
      </c>
      <c r="H389" s="9">
        <f>Source!AV255</f>
        <v>1</v>
      </c>
      <c r="I389" s="9"/>
      <c r="J389" s="26"/>
      <c r="K389" s="26">
        <f>Source!U255</f>
        <v>258.16000000000003</v>
      </c>
    </row>
    <row r="390" spans="1:32" ht="15" x14ac:dyDescent="0.25">
      <c r="A390" s="31"/>
      <c r="B390" s="31"/>
      <c r="C390" s="31"/>
      <c r="D390" s="31"/>
      <c r="E390" s="31"/>
      <c r="F390" s="31"/>
      <c r="G390" s="31"/>
      <c r="H390" s="31"/>
      <c r="I390" s="63">
        <f>J379+J380+J382+J386+J387+J388+SUM(J383:J385)</f>
        <v>2394479.9000000004</v>
      </c>
      <c r="J390" s="63"/>
      <c r="K390" s="32">
        <f>IF(Source!I255&lt;&gt;0, ROUND(I390/Source!I255, 2), 0)</f>
        <v>171034.28</v>
      </c>
      <c r="P390" s="29">
        <f>I390</f>
        <v>2394479.9000000004</v>
      </c>
    </row>
    <row r="392" spans="1:32" ht="30" x14ac:dyDescent="0.25">
      <c r="A392" s="59" t="str">
        <f>CONCATENATE("Итого по разделу: ",IF(Source!G260&lt;&gt;"Новый раздел", Source!G260, ""))</f>
        <v xml:space="preserve">Итого по разделу: Раздел 24.1 Устройство покрытия на площадке для игровых видов спорта (1 см - EPDM) </v>
      </c>
      <c r="B392" s="59"/>
      <c r="C392" s="59"/>
      <c r="D392" s="59"/>
      <c r="E392" s="59"/>
      <c r="F392" s="59"/>
      <c r="G392" s="59"/>
      <c r="H392" s="59"/>
      <c r="I392" s="60">
        <f>SUM(P376:P391)</f>
        <v>2394479.9000000004</v>
      </c>
      <c r="J392" s="61"/>
      <c r="K392" s="34"/>
      <c r="AF392" s="35" t="str">
        <f>CONCATENATE("Итого по разделу: ",IF(Source!G260&lt;&gt;"Новый раздел", Source!G260, ""))</f>
        <v xml:space="preserve">Итого по разделу: Раздел 24.1 Устройство покрытия на площадке для игровых видов спорта (1 см - EPDM) </v>
      </c>
    </row>
    <row r="393" spans="1:32" ht="6" customHeight="1" x14ac:dyDescent="0.2"/>
    <row r="394" spans="1:32" ht="14.25" x14ac:dyDescent="0.2">
      <c r="C394" s="57" t="str">
        <f>Source!H288</f>
        <v>Итого</v>
      </c>
      <c r="D394" s="57"/>
      <c r="E394" s="57"/>
      <c r="F394" s="57"/>
      <c r="G394" s="57"/>
      <c r="H394" s="57"/>
      <c r="I394" s="58">
        <f>IF(Source!F288=0, "", Source!F288)</f>
        <v>2394479.9</v>
      </c>
      <c r="J394" s="58"/>
    </row>
    <row r="395" spans="1:32" ht="14.25" x14ac:dyDescent="0.2">
      <c r="C395" s="57" t="str">
        <f>Source!H289</f>
        <v>НДС 20%</v>
      </c>
      <c r="D395" s="57"/>
      <c r="E395" s="57"/>
      <c r="F395" s="57"/>
      <c r="G395" s="57"/>
      <c r="H395" s="57"/>
      <c r="I395" s="58">
        <f>IF(Source!F289=0, "", Source!F289)</f>
        <v>478895.98</v>
      </c>
      <c r="J395" s="58"/>
    </row>
    <row r="396" spans="1:32" ht="14.25" x14ac:dyDescent="0.2">
      <c r="C396" s="57" t="str">
        <f>Source!H290</f>
        <v>Всего</v>
      </c>
      <c r="D396" s="57"/>
      <c r="E396" s="57"/>
      <c r="F396" s="57"/>
      <c r="G396" s="57"/>
      <c r="H396" s="57"/>
      <c r="I396" s="58">
        <f>IF(Source!F290=0, "", Source!F290)</f>
        <v>2873375.88</v>
      </c>
      <c r="J396" s="58"/>
    </row>
    <row r="398" spans="1:32" ht="16.5" x14ac:dyDescent="0.25">
      <c r="A398" s="62" t="str">
        <f>CONCATENATE("Раздел: ",IF(Source!G292&lt;&gt;"Новый раздел", Source!G292, ""))</f>
        <v>Раздел: Раздел 27.1 Устройство нового пешеходного покрытия из бетонной плитки - 60 м2</v>
      </c>
      <c r="B398" s="62"/>
      <c r="C398" s="62"/>
      <c r="D398" s="62"/>
      <c r="E398" s="62"/>
      <c r="F398" s="62"/>
      <c r="G398" s="62"/>
      <c r="H398" s="62"/>
      <c r="I398" s="62"/>
      <c r="J398" s="62"/>
      <c r="K398" s="62"/>
    </row>
    <row r="399" spans="1:32" ht="57" x14ac:dyDescent="0.2">
      <c r="A399" s="21" t="str">
        <f>Source!E296</f>
        <v>42</v>
      </c>
      <c r="B399" s="22" t="str">
        <f>Source!F296</f>
        <v>2.49-3101-3-3/1</v>
      </c>
      <c r="C399" s="22" t="str">
        <f>Source!G296</f>
        <v>Разработка грунта с погрузкой на автомобили-самосвалы экскаваторами с ковшом вместимостью 0,5 м3, группа грунтов 1-3</v>
      </c>
      <c r="D399" s="23" t="str">
        <f>Source!H296</f>
        <v>100 м3</v>
      </c>
      <c r="E399" s="9">
        <f>Source!I296</f>
        <v>0.23219999999999999</v>
      </c>
      <c r="F399" s="25"/>
      <c r="G399" s="24"/>
      <c r="H399" s="9"/>
      <c r="I399" s="9"/>
      <c r="J399" s="26"/>
      <c r="K399" s="26"/>
      <c r="Q399">
        <f>ROUND((Source!BZ296/100)*ROUND((Source!AF296*Source!AV296)*Source!I296, 2), 2)</f>
        <v>46.71</v>
      </c>
      <c r="R399">
        <f>Source!X296</f>
        <v>46.71</v>
      </c>
      <c r="S399">
        <f>ROUND((Source!CA296/100)*ROUND((Source!AF296*Source!AV296)*Source!I296, 2), 2)</f>
        <v>6.67</v>
      </c>
      <c r="T399">
        <f>Source!Y296</f>
        <v>6.67</v>
      </c>
      <c r="U399">
        <f>ROUND((175/100)*ROUND((Source!AE296*Source!AV296)*Source!I296, 2), 2)</f>
        <v>1395.36</v>
      </c>
      <c r="V399">
        <f>ROUND((108/100)*ROUND(Source!CS296*Source!I296, 2), 2)</f>
        <v>861.14</v>
      </c>
    </row>
    <row r="400" spans="1:32" x14ac:dyDescent="0.2">
      <c r="C400" s="27" t="str">
        <f>"Объем: "&amp;Source!I296&amp;"=(60*"&amp;"0,43*"&amp;"0,9)/"&amp;"100"</f>
        <v>Объем: 0,2322=(60*0,43*0,9)/100</v>
      </c>
    </row>
    <row r="401" spans="1:22" ht="14.25" x14ac:dyDescent="0.2">
      <c r="A401" s="21"/>
      <c r="B401" s="22"/>
      <c r="C401" s="22" t="s">
        <v>452</v>
      </c>
      <c r="D401" s="23"/>
      <c r="E401" s="9"/>
      <c r="F401" s="25">
        <f>Source!AO296</f>
        <v>287.38</v>
      </c>
      <c r="G401" s="24" t="str">
        <f>Source!DG296</f>
        <v/>
      </c>
      <c r="H401" s="9">
        <f>Source!AV296</f>
        <v>1</v>
      </c>
      <c r="I401" s="9">
        <f>IF(Source!BA296&lt;&gt; 0, Source!BA296, 1)</f>
        <v>1</v>
      </c>
      <c r="J401" s="26">
        <f>Source!S296</f>
        <v>66.73</v>
      </c>
      <c r="K401" s="26"/>
    </row>
    <row r="402" spans="1:22" ht="14.25" x14ac:dyDescent="0.2">
      <c r="A402" s="21"/>
      <c r="B402" s="22"/>
      <c r="C402" s="22" t="s">
        <v>453</v>
      </c>
      <c r="D402" s="23"/>
      <c r="E402" s="9"/>
      <c r="F402" s="25">
        <f>Source!AM296</f>
        <v>8779.01</v>
      </c>
      <c r="G402" s="24" t="str">
        <f>Source!DE296</f>
        <v/>
      </c>
      <c r="H402" s="9">
        <f>Source!AV296</f>
        <v>1</v>
      </c>
      <c r="I402" s="9">
        <f>IF(Source!BB296&lt;&gt; 0, Source!BB296, 1)</f>
        <v>1</v>
      </c>
      <c r="J402" s="26">
        <f>Source!Q296</f>
        <v>2038.49</v>
      </c>
      <c r="K402" s="26"/>
    </row>
    <row r="403" spans="1:22" ht="14.25" x14ac:dyDescent="0.2">
      <c r="A403" s="21"/>
      <c r="B403" s="22"/>
      <c r="C403" s="22" t="s">
        <v>454</v>
      </c>
      <c r="D403" s="23"/>
      <c r="E403" s="9"/>
      <c r="F403" s="25">
        <f>Source!AN296</f>
        <v>3433.88</v>
      </c>
      <c r="G403" s="24" t="str">
        <f>Source!DF296</f>
        <v/>
      </c>
      <c r="H403" s="9">
        <f>Source!AV296</f>
        <v>1</v>
      </c>
      <c r="I403" s="9">
        <f>IF(Source!BS296&lt;&gt; 0, Source!BS296, 1)</f>
        <v>1</v>
      </c>
      <c r="J403" s="28">
        <f>Source!R296</f>
        <v>797.35</v>
      </c>
      <c r="K403" s="26"/>
    </row>
    <row r="404" spans="1:22" ht="14.25" x14ac:dyDescent="0.2">
      <c r="A404" s="21"/>
      <c r="B404" s="22"/>
      <c r="C404" s="22" t="s">
        <v>455</v>
      </c>
      <c r="D404" s="23" t="s">
        <v>456</v>
      </c>
      <c r="E404" s="9">
        <f>Source!AT296</f>
        <v>70</v>
      </c>
      <c r="F404" s="25"/>
      <c r="G404" s="24"/>
      <c r="H404" s="9"/>
      <c r="I404" s="9"/>
      <c r="J404" s="26">
        <f>SUM(R399:R403)</f>
        <v>46.71</v>
      </c>
      <c r="K404" s="26"/>
    </row>
    <row r="405" spans="1:22" ht="14.25" x14ac:dyDescent="0.2">
      <c r="A405" s="21"/>
      <c r="B405" s="22"/>
      <c r="C405" s="22" t="s">
        <v>457</v>
      </c>
      <c r="D405" s="23" t="s">
        <v>456</v>
      </c>
      <c r="E405" s="9">
        <f>Source!AU296</f>
        <v>10</v>
      </c>
      <c r="F405" s="25"/>
      <c r="G405" s="24"/>
      <c r="H405" s="9"/>
      <c r="I405" s="9"/>
      <c r="J405" s="26">
        <f>SUM(T399:T404)</f>
        <v>6.67</v>
      </c>
      <c r="K405" s="26"/>
    </row>
    <row r="406" spans="1:22" ht="14.25" x14ac:dyDescent="0.2">
      <c r="A406" s="21"/>
      <c r="B406" s="22"/>
      <c r="C406" s="22" t="s">
        <v>458</v>
      </c>
      <c r="D406" s="23" t="s">
        <v>456</v>
      </c>
      <c r="E406" s="9">
        <f>108</f>
        <v>108</v>
      </c>
      <c r="F406" s="25"/>
      <c r="G406" s="24"/>
      <c r="H406" s="9"/>
      <c r="I406" s="9"/>
      <c r="J406" s="26">
        <f>SUM(V399:V405)</f>
        <v>861.14</v>
      </c>
      <c r="K406" s="26"/>
    </row>
    <row r="407" spans="1:22" ht="14.25" x14ac:dyDescent="0.2">
      <c r="A407" s="21"/>
      <c r="B407" s="22"/>
      <c r="C407" s="22" t="s">
        <v>459</v>
      </c>
      <c r="D407" s="23" t="s">
        <v>460</v>
      </c>
      <c r="E407" s="9">
        <f>Source!AQ296</f>
        <v>1.59</v>
      </c>
      <c r="F407" s="25"/>
      <c r="G407" s="24" t="str">
        <f>Source!DI296</f>
        <v/>
      </c>
      <c r="H407" s="9">
        <f>Source!AV296</f>
        <v>1</v>
      </c>
      <c r="I407" s="9"/>
      <c r="J407" s="26"/>
      <c r="K407" s="26">
        <f>Source!U296</f>
        <v>0.36919800000000003</v>
      </c>
    </row>
    <row r="408" spans="1:22" ht="15" x14ac:dyDescent="0.25">
      <c r="A408" s="31"/>
      <c r="B408" s="31"/>
      <c r="C408" s="31"/>
      <c r="D408" s="31"/>
      <c r="E408" s="31"/>
      <c r="F408" s="31"/>
      <c r="G408" s="31"/>
      <c r="H408" s="31"/>
      <c r="I408" s="63">
        <f>J401+J402+J404+J405+J406</f>
        <v>3019.74</v>
      </c>
      <c r="J408" s="63"/>
      <c r="K408" s="32">
        <f>IF(Source!I296&lt;&gt;0, ROUND(I408/Source!I296, 2), 0)</f>
        <v>13004.91</v>
      </c>
      <c r="P408" s="29">
        <f>I408</f>
        <v>3019.74</v>
      </c>
    </row>
    <row r="409" spans="1:22" ht="42.75" x14ac:dyDescent="0.2">
      <c r="A409" s="21" t="str">
        <f>Source!E297</f>
        <v>43</v>
      </c>
      <c r="B409" s="22" t="str">
        <f>Source!F297</f>
        <v>1.1-3303-2-1/1</v>
      </c>
      <c r="C409" s="22" t="str">
        <f>Source!G297</f>
        <v>Разработка грунта вручную в траншеях глубиной до 2 м без креплений с откосами группа грунтов 1-3</v>
      </c>
      <c r="D409" s="23" t="str">
        <f>Source!H297</f>
        <v>100 м3</v>
      </c>
      <c r="E409" s="9">
        <f>Source!I297</f>
        <v>2.58E-2</v>
      </c>
      <c r="F409" s="25"/>
      <c r="G409" s="24"/>
      <c r="H409" s="9"/>
      <c r="I409" s="9"/>
      <c r="J409" s="26"/>
      <c r="K409" s="26"/>
      <c r="Q409">
        <f>ROUND((Source!BZ297/100)*ROUND((Source!AF297*Source!AV297)*Source!I297, 2), 2)</f>
        <v>757.64</v>
      </c>
      <c r="R409">
        <f>Source!X297</f>
        <v>757.64</v>
      </c>
      <c r="S409">
        <f>ROUND((Source!CA297/100)*ROUND((Source!AF297*Source!AV297)*Source!I297, 2), 2)</f>
        <v>108.23</v>
      </c>
      <c r="T409">
        <f>Source!Y297</f>
        <v>108.23</v>
      </c>
      <c r="U409">
        <f>ROUND((175/100)*ROUND((Source!AE297*Source!AV297)*Source!I297, 2), 2)</f>
        <v>0</v>
      </c>
      <c r="V409">
        <f>ROUND((108/100)*ROUND(Source!CS297*Source!I297, 2), 2)</f>
        <v>0</v>
      </c>
    </row>
    <row r="410" spans="1:22" x14ac:dyDescent="0.2">
      <c r="C410" s="27" t="str">
        <f>"Объем: "&amp;Source!I297&amp;"=(60*"&amp;"0,43*"&amp;"0,1)/"&amp;"100"</f>
        <v>Объем: 0,0258=(60*0,43*0,1)/100</v>
      </c>
    </row>
    <row r="411" spans="1:22" ht="14.25" x14ac:dyDescent="0.2">
      <c r="A411" s="21"/>
      <c r="B411" s="22"/>
      <c r="C411" s="22" t="s">
        <v>452</v>
      </c>
      <c r="D411" s="23"/>
      <c r="E411" s="9"/>
      <c r="F411" s="25">
        <f>Source!AO297</f>
        <v>41951.1</v>
      </c>
      <c r="G411" s="24" t="str">
        <f>Source!DG297</f>
        <v/>
      </c>
      <c r="H411" s="9">
        <f>Source!AV297</f>
        <v>1</v>
      </c>
      <c r="I411" s="9">
        <f>IF(Source!BA297&lt;&gt; 0, Source!BA297, 1)</f>
        <v>1</v>
      </c>
      <c r="J411" s="26">
        <f>Source!S297</f>
        <v>1082.3399999999999</v>
      </c>
      <c r="K411" s="26"/>
    </row>
    <row r="412" spans="1:22" ht="14.25" x14ac:dyDescent="0.2">
      <c r="A412" s="21"/>
      <c r="B412" s="22"/>
      <c r="C412" s="22" t="s">
        <v>455</v>
      </c>
      <c r="D412" s="23" t="s">
        <v>456</v>
      </c>
      <c r="E412" s="9">
        <f>Source!AT297</f>
        <v>70</v>
      </c>
      <c r="F412" s="25"/>
      <c r="G412" s="24"/>
      <c r="H412" s="9"/>
      <c r="I412" s="9"/>
      <c r="J412" s="26">
        <f>SUM(R409:R411)</f>
        <v>757.64</v>
      </c>
      <c r="K412" s="26"/>
    </row>
    <row r="413" spans="1:22" ht="14.25" x14ac:dyDescent="0.2">
      <c r="A413" s="21"/>
      <c r="B413" s="22"/>
      <c r="C413" s="22" t="s">
        <v>457</v>
      </c>
      <c r="D413" s="23" t="s">
        <v>456</v>
      </c>
      <c r="E413" s="9">
        <f>Source!AU297</f>
        <v>10</v>
      </c>
      <c r="F413" s="25"/>
      <c r="G413" s="24"/>
      <c r="H413" s="9"/>
      <c r="I413" s="9"/>
      <c r="J413" s="26">
        <f>SUM(T409:T412)</f>
        <v>108.23</v>
      </c>
      <c r="K413" s="26"/>
    </row>
    <row r="414" spans="1:22" ht="14.25" x14ac:dyDescent="0.2">
      <c r="A414" s="21"/>
      <c r="B414" s="22"/>
      <c r="C414" s="22" t="s">
        <v>459</v>
      </c>
      <c r="D414" s="23" t="s">
        <v>460</v>
      </c>
      <c r="E414" s="9">
        <f>Source!AQ297</f>
        <v>221.6</v>
      </c>
      <c r="F414" s="25"/>
      <c r="G414" s="24" t="str">
        <f>Source!DI297</f>
        <v/>
      </c>
      <c r="H414" s="9">
        <f>Source!AV297</f>
        <v>1</v>
      </c>
      <c r="I414" s="9"/>
      <c r="J414" s="26"/>
      <c r="K414" s="26">
        <f>Source!U297</f>
        <v>5.7172799999999997</v>
      </c>
    </row>
    <row r="415" spans="1:22" ht="15" x14ac:dyDescent="0.25">
      <c r="A415" s="31"/>
      <c r="B415" s="31"/>
      <c r="C415" s="31"/>
      <c r="D415" s="31"/>
      <c r="E415" s="31"/>
      <c r="F415" s="31"/>
      <c r="G415" s="31"/>
      <c r="H415" s="31"/>
      <c r="I415" s="63">
        <f>J411+J412+J413</f>
        <v>1948.21</v>
      </c>
      <c r="J415" s="63"/>
      <c r="K415" s="32">
        <f>IF(Source!I297&lt;&gt;0, ROUND(I415/Source!I297, 2), 0)</f>
        <v>75512.02</v>
      </c>
      <c r="P415" s="29">
        <f>I415</f>
        <v>1948.21</v>
      </c>
    </row>
    <row r="416" spans="1:22" ht="28.5" x14ac:dyDescent="0.2">
      <c r="A416" s="21" t="str">
        <f>Source!E298</f>
        <v>44</v>
      </c>
      <c r="B416" s="22" t="str">
        <f>Source!F298</f>
        <v>1.1-3101-6-1/1</v>
      </c>
      <c r="C416" s="22" t="str">
        <f>Source!G298</f>
        <v>Погрузка грунта вручную в автомобили-самосвалы с выгрузкой</v>
      </c>
      <c r="D416" s="23" t="str">
        <f>Source!H298</f>
        <v>100 м3</v>
      </c>
      <c r="E416" s="9">
        <f>Source!I298</f>
        <v>2.5799999999999998E-3</v>
      </c>
      <c r="F416" s="25"/>
      <c r="G416" s="24"/>
      <c r="H416" s="9"/>
      <c r="I416" s="9"/>
      <c r="J416" s="26"/>
      <c r="K416" s="26"/>
      <c r="Q416">
        <f>ROUND((Source!BZ298/100)*ROUND((Source!AF298*Source!AV298)*Source!I298, 2), 2)</f>
        <v>20.100000000000001</v>
      </c>
      <c r="R416">
        <f>Source!X298</f>
        <v>20.100000000000001</v>
      </c>
      <c r="S416">
        <f>ROUND((Source!CA298/100)*ROUND((Source!AF298*Source!AV298)*Source!I298, 2), 2)</f>
        <v>2.87</v>
      </c>
      <c r="T416">
        <f>Source!Y298</f>
        <v>2.87</v>
      </c>
      <c r="U416">
        <f>ROUND((175/100)*ROUND((Source!AE298*Source!AV298)*Source!I298, 2), 2)</f>
        <v>0</v>
      </c>
      <c r="V416">
        <f>ROUND((108/100)*ROUND(Source!CS298*Source!I298, 2), 2)</f>
        <v>0</v>
      </c>
    </row>
    <row r="417" spans="1:22" x14ac:dyDescent="0.2">
      <c r="C417" s="27" t="str">
        <f>"Объем: "&amp;Source!I298&amp;"=(60*"&amp;"0,43*"&amp;"0,1*"&amp;"0,1)/"&amp;"100"</f>
        <v>Объем: 0,00258=(60*0,43*0,1*0,1)/100</v>
      </c>
    </row>
    <row r="418" spans="1:22" ht="14.25" x14ac:dyDescent="0.2">
      <c r="A418" s="21"/>
      <c r="B418" s="22"/>
      <c r="C418" s="22" t="s">
        <v>452</v>
      </c>
      <c r="D418" s="23"/>
      <c r="E418" s="9"/>
      <c r="F418" s="25">
        <f>Source!AO298</f>
        <v>11130.3</v>
      </c>
      <c r="G418" s="24" t="str">
        <f>Source!DG298</f>
        <v/>
      </c>
      <c r="H418" s="9">
        <f>Source!AV298</f>
        <v>1</v>
      </c>
      <c r="I418" s="9">
        <f>IF(Source!BA298&lt;&gt; 0, Source!BA298, 1)</f>
        <v>1</v>
      </c>
      <c r="J418" s="26">
        <f>Source!S298</f>
        <v>28.72</v>
      </c>
      <c r="K418" s="26"/>
    </row>
    <row r="419" spans="1:22" ht="14.25" x14ac:dyDescent="0.2">
      <c r="A419" s="21"/>
      <c r="B419" s="22"/>
      <c r="C419" s="22" t="s">
        <v>455</v>
      </c>
      <c r="D419" s="23" t="s">
        <v>456</v>
      </c>
      <c r="E419" s="9">
        <f>Source!AT298</f>
        <v>70</v>
      </c>
      <c r="F419" s="25"/>
      <c r="G419" s="24"/>
      <c r="H419" s="9"/>
      <c r="I419" s="9"/>
      <c r="J419" s="26">
        <f>SUM(R416:R418)</f>
        <v>20.100000000000001</v>
      </c>
      <c r="K419" s="26"/>
    </row>
    <row r="420" spans="1:22" ht="14.25" x14ac:dyDescent="0.2">
      <c r="A420" s="21"/>
      <c r="B420" s="22"/>
      <c r="C420" s="22" t="s">
        <v>457</v>
      </c>
      <c r="D420" s="23" t="s">
        <v>456</v>
      </c>
      <c r="E420" s="9">
        <f>Source!AU298</f>
        <v>10</v>
      </c>
      <c r="F420" s="25"/>
      <c r="G420" s="24"/>
      <c r="H420" s="9"/>
      <c r="I420" s="9"/>
      <c r="J420" s="26">
        <f>SUM(T416:T419)</f>
        <v>2.87</v>
      </c>
      <c r="K420" s="26"/>
    </row>
    <row r="421" spans="1:22" ht="14.25" x14ac:dyDescent="0.2">
      <c r="A421" s="21"/>
      <c r="B421" s="22"/>
      <c r="C421" s="22" t="s">
        <v>459</v>
      </c>
      <c r="D421" s="23" t="s">
        <v>460</v>
      </c>
      <c r="E421" s="9">
        <f>Source!AQ298</f>
        <v>83</v>
      </c>
      <c r="F421" s="25"/>
      <c r="G421" s="24" t="str">
        <f>Source!DI298</f>
        <v/>
      </c>
      <c r="H421" s="9">
        <f>Source!AV298</f>
        <v>1</v>
      </c>
      <c r="I421" s="9"/>
      <c r="J421" s="26"/>
      <c r="K421" s="26">
        <f>Source!U298</f>
        <v>0.21414</v>
      </c>
    </row>
    <row r="422" spans="1:22" ht="15" x14ac:dyDescent="0.25">
      <c r="A422" s="31"/>
      <c r="B422" s="31"/>
      <c r="C422" s="31"/>
      <c r="D422" s="31"/>
      <c r="E422" s="31"/>
      <c r="F422" s="31"/>
      <c r="G422" s="31"/>
      <c r="H422" s="31"/>
      <c r="I422" s="63">
        <f>J418+J419+J420</f>
        <v>51.69</v>
      </c>
      <c r="J422" s="63"/>
      <c r="K422" s="32">
        <f>IF(Source!I298&lt;&gt;0, ROUND(I422/Source!I298, 2), 0)</f>
        <v>20034.88</v>
      </c>
      <c r="P422" s="29">
        <f>I422</f>
        <v>51.69</v>
      </c>
    </row>
    <row r="423" spans="1:22" ht="42.75" x14ac:dyDescent="0.2">
      <c r="A423" s="21" t="str">
        <f>Source!E299</f>
        <v>45</v>
      </c>
      <c r="B423" s="22" t="str">
        <f>Source!F299</f>
        <v>2.49-3401-1-1/1</v>
      </c>
      <c r="C423" s="22" t="str">
        <f>Source!G299</f>
        <v>Перевозка грунта автосамосвалами грузоподъемностью до 10 т на расстояние 1 км</v>
      </c>
      <c r="D423" s="23" t="str">
        <f>Source!H299</f>
        <v>м3</v>
      </c>
      <c r="E423" s="9">
        <f>Source!I299</f>
        <v>25.8</v>
      </c>
      <c r="F423" s="25"/>
      <c r="G423" s="24"/>
      <c r="H423" s="9"/>
      <c r="I423" s="9"/>
      <c r="J423" s="26"/>
      <c r="K423" s="26"/>
      <c r="Q423">
        <f>ROUND((Source!BZ299/100)*ROUND((Source!AF299*Source!AV299)*Source!I299, 2), 2)</f>
        <v>0</v>
      </c>
      <c r="R423">
        <f>Source!X299</f>
        <v>0</v>
      </c>
      <c r="S423">
        <f>ROUND((Source!CA299/100)*ROUND((Source!AF299*Source!AV299)*Source!I299, 2), 2)</f>
        <v>0</v>
      </c>
      <c r="T423">
        <f>Source!Y299</f>
        <v>0</v>
      </c>
      <c r="U423">
        <f>ROUND((175/100)*ROUND((Source!AE299*Source!AV299)*Source!I299, 2), 2)</f>
        <v>1158.55</v>
      </c>
      <c r="V423">
        <f>ROUND((108/100)*ROUND(Source!CS299*Source!I299, 2), 2)</f>
        <v>714.99</v>
      </c>
    </row>
    <row r="424" spans="1:22" x14ac:dyDescent="0.2">
      <c r="C424" s="27" t="str">
        <f>"Объем: "&amp;Source!I299&amp;"=60*"&amp;"0,43"</f>
        <v>Объем: 25,8=60*0,43</v>
      </c>
    </row>
    <row r="425" spans="1:22" ht="14.25" x14ac:dyDescent="0.2">
      <c r="A425" s="21"/>
      <c r="B425" s="22"/>
      <c r="C425" s="22" t="s">
        <v>453</v>
      </c>
      <c r="D425" s="23"/>
      <c r="E425" s="9"/>
      <c r="F425" s="25">
        <f>Source!AM299</f>
        <v>47.27</v>
      </c>
      <c r="G425" s="24" t="str">
        <f>Source!DE299</f>
        <v/>
      </c>
      <c r="H425" s="9">
        <f>Source!AV299</f>
        <v>1</v>
      </c>
      <c r="I425" s="9">
        <f>IF(Source!BB299&lt;&gt; 0, Source!BB299, 1)</f>
        <v>1</v>
      </c>
      <c r="J425" s="26">
        <f>Source!Q299</f>
        <v>1219.57</v>
      </c>
      <c r="K425" s="26"/>
    </row>
    <row r="426" spans="1:22" ht="14.25" x14ac:dyDescent="0.2">
      <c r="A426" s="21"/>
      <c r="B426" s="22"/>
      <c r="C426" s="22" t="s">
        <v>454</v>
      </c>
      <c r="D426" s="23"/>
      <c r="E426" s="9"/>
      <c r="F426" s="25">
        <f>Source!AN299</f>
        <v>25.66</v>
      </c>
      <c r="G426" s="24" t="str">
        <f>Source!DF299</f>
        <v/>
      </c>
      <c r="H426" s="9">
        <f>Source!AV299</f>
        <v>1</v>
      </c>
      <c r="I426" s="9">
        <f>IF(Source!BS299&lt;&gt; 0, Source!BS299, 1)</f>
        <v>1</v>
      </c>
      <c r="J426" s="28">
        <f>Source!R299</f>
        <v>662.03</v>
      </c>
      <c r="K426" s="26"/>
    </row>
    <row r="427" spans="1:22" ht="15" x14ac:dyDescent="0.25">
      <c r="A427" s="31"/>
      <c r="B427" s="31"/>
      <c r="C427" s="31"/>
      <c r="D427" s="31"/>
      <c r="E427" s="31"/>
      <c r="F427" s="31"/>
      <c r="G427" s="31"/>
      <c r="H427" s="31"/>
      <c r="I427" s="63">
        <f>J425</f>
        <v>1219.57</v>
      </c>
      <c r="J427" s="63"/>
      <c r="K427" s="32">
        <f>IF(Source!I299&lt;&gt;0, ROUND(I427/Source!I299, 2), 0)</f>
        <v>47.27</v>
      </c>
      <c r="P427" s="29">
        <f>I427</f>
        <v>1219.57</v>
      </c>
    </row>
    <row r="428" spans="1:22" ht="57" x14ac:dyDescent="0.2">
      <c r="A428" s="21" t="str">
        <f>Source!E300</f>
        <v>46</v>
      </c>
      <c r="B428" s="22" t="str">
        <f>Source!F300</f>
        <v>2.49-3401-1-2/1</v>
      </c>
      <c r="C428" s="22" t="str">
        <f>Source!G300</f>
        <v>Перевозка грунта автосамосвалами грузоподъемностью до 10 т - добавляется на каждый последующий 1 км до 100 км (к поз. 49-3401-1-1)</v>
      </c>
      <c r="D428" s="23" t="str">
        <f>Source!H300</f>
        <v>м3</v>
      </c>
      <c r="E428" s="9">
        <f>Source!I300</f>
        <v>25.8</v>
      </c>
      <c r="F428" s="25"/>
      <c r="G428" s="24"/>
      <c r="H428" s="9"/>
      <c r="I428" s="9"/>
      <c r="J428" s="26"/>
      <c r="K428" s="26"/>
      <c r="Q428">
        <f>ROUND((Source!BZ300/100)*ROUND((Source!AF300*Source!AV300)*Source!I300, 2), 2)</f>
        <v>0</v>
      </c>
      <c r="R428">
        <f>Source!X300</f>
        <v>0</v>
      </c>
      <c r="S428">
        <f>ROUND((Source!CA300/100)*ROUND((Source!AF300*Source!AV300)*Source!I300, 2), 2)</f>
        <v>0</v>
      </c>
      <c r="T428">
        <f>Source!Y300</f>
        <v>0</v>
      </c>
      <c r="U428">
        <f>ROUND((175/100)*ROUND((Source!AE300*Source!AV300)*Source!I300, 2), 2)</f>
        <v>20187.48</v>
      </c>
      <c r="V428">
        <f>ROUND((108/100)*ROUND(Source!CS300*Source!I300, 2), 2)</f>
        <v>12458.56</v>
      </c>
    </row>
    <row r="429" spans="1:22" ht="14.25" x14ac:dyDescent="0.2">
      <c r="A429" s="21"/>
      <c r="B429" s="22"/>
      <c r="C429" s="22" t="s">
        <v>453</v>
      </c>
      <c r="D429" s="23"/>
      <c r="E429" s="9"/>
      <c r="F429" s="25">
        <f>Source!AM300</f>
        <v>15.25</v>
      </c>
      <c r="G429" s="24" t="str">
        <f>Source!DE300</f>
        <v>*54</v>
      </c>
      <c r="H429" s="9">
        <f>Source!AV300</f>
        <v>1</v>
      </c>
      <c r="I429" s="9">
        <f>IF(Source!BB300&lt;&gt; 0, Source!BB300, 1)</f>
        <v>1</v>
      </c>
      <c r="J429" s="26">
        <f>Source!Q300</f>
        <v>21246.3</v>
      </c>
      <c r="K429" s="26"/>
    </row>
    <row r="430" spans="1:22" ht="14.25" x14ac:dyDescent="0.2">
      <c r="A430" s="21"/>
      <c r="B430" s="22"/>
      <c r="C430" s="22" t="s">
        <v>454</v>
      </c>
      <c r="D430" s="23"/>
      <c r="E430" s="9"/>
      <c r="F430" s="25">
        <f>Source!AN300</f>
        <v>8.2799999999999994</v>
      </c>
      <c r="G430" s="24" t="str">
        <f>Source!DF300</f>
        <v>*54</v>
      </c>
      <c r="H430" s="9">
        <f>Source!AV300</f>
        <v>1</v>
      </c>
      <c r="I430" s="9">
        <f>IF(Source!BS300&lt;&gt; 0, Source!BS300, 1)</f>
        <v>1</v>
      </c>
      <c r="J430" s="28">
        <f>Source!R300</f>
        <v>11535.7</v>
      </c>
      <c r="K430" s="26"/>
    </row>
    <row r="431" spans="1:22" ht="15" x14ac:dyDescent="0.25">
      <c r="A431" s="31"/>
      <c r="B431" s="31"/>
      <c r="C431" s="31"/>
      <c r="D431" s="31"/>
      <c r="E431" s="31"/>
      <c r="F431" s="31"/>
      <c r="G431" s="31"/>
      <c r="H431" s="31"/>
      <c r="I431" s="63">
        <f>J429</f>
        <v>21246.3</v>
      </c>
      <c r="J431" s="63"/>
      <c r="K431" s="32">
        <f>IF(Source!I300&lt;&gt;0, ROUND(I431/Source!I300, 2), 0)</f>
        <v>823.5</v>
      </c>
      <c r="P431" s="29">
        <f>I431</f>
        <v>21246.3</v>
      </c>
    </row>
    <row r="432" spans="1:22" ht="85.5" x14ac:dyDescent="0.2">
      <c r="A432" s="21" t="str">
        <f>Source!E301</f>
        <v>47</v>
      </c>
      <c r="B432" s="22" t="str">
        <f>Source!F301</f>
        <v>Коммерческое предложение</v>
      </c>
      <c r="C432" s="22" t="str">
        <f>Source!G301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D432" s="23" t="str">
        <f>Source!H301</f>
        <v/>
      </c>
      <c r="E432" s="9">
        <f>Source!I301</f>
        <v>36.119999999999997</v>
      </c>
      <c r="F432" s="25">
        <f>Source!AL301</f>
        <v>100.3</v>
      </c>
      <c r="G432" s="24" t="str">
        <f>Source!DD301</f>
        <v/>
      </c>
      <c r="H432" s="9">
        <f>Source!AW301</f>
        <v>1</v>
      </c>
      <c r="I432" s="9">
        <f>IF(Source!BC301&lt;&gt; 0, Source!BC301, 1)</f>
        <v>1</v>
      </c>
      <c r="J432" s="26">
        <f>Source!P301</f>
        <v>3622.84</v>
      </c>
      <c r="K432" s="26"/>
      <c r="Q432">
        <f>ROUND((Source!BZ301/100)*ROUND((Source!AF301*Source!AV301)*Source!I301, 2), 2)</f>
        <v>0</v>
      </c>
      <c r="R432">
        <f>Source!X301</f>
        <v>0</v>
      </c>
      <c r="S432">
        <f>ROUND((Source!CA301/100)*ROUND((Source!AF301*Source!AV301)*Source!I301, 2), 2)</f>
        <v>0</v>
      </c>
      <c r="T432">
        <f>Source!Y301</f>
        <v>0</v>
      </c>
      <c r="U432">
        <f>ROUND((175/100)*ROUND((Source!AE301*Source!AV301)*Source!I301, 2), 2)</f>
        <v>0</v>
      </c>
      <c r="V432">
        <f>ROUND((108/100)*ROUND(Source!CS301*Source!I301, 2), 2)</f>
        <v>0</v>
      </c>
    </row>
    <row r="433" spans="1:22" x14ac:dyDescent="0.2">
      <c r="C433" s="27" t="str">
        <f>"Объем: "&amp;Source!I301&amp;"="&amp;Source!I299&amp;"*"&amp;"1,4"</f>
        <v>Объем: 36,12=25,8*1,4</v>
      </c>
    </row>
    <row r="434" spans="1:22" ht="15" x14ac:dyDescent="0.25">
      <c r="A434" s="31"/>
      <c r="B434" s="31"/>
      <c r="C434" s="31"/>
      <c r="D434" s="31"/>
      <c r="E434" s="31"/>
      <c r="F434" s="31"/>
      <c r="G434" s="31"/>
      <c r="H434" s="31"/>
      <c r="I434" s="63">
        <f>J432</f>
        <v>3622.84</v>
      </c>
      <c r="J434" s="63"/>
      <c r="K434" s="32">
        <f>IF(Source!I301&lt;&gt;0, ROUND(I434/Source!I301, 2), 0)</f>
        <v>100.3</v>
      </c>
      <c r="P434" s="29">
        <f>I434</f>
        <v>3622.84</v>
      </c>
    </row>
    <row r="435" spans="1:22" ht="28.5" x14ac:dyDescent="0.2">
      <c r="A435" s="21" t="str">
        <f>Source!E302</f>
        <v>48</v>
      </c>
      <c r="B435" s="22" t="str">
        <f>Source!F302</f>
        <v>2.1-3303-1-1/1</v>
      </c>
      <c r="C435" s="22" t="str">
        <f>Source!G302</f>
        <v>Устройство подстилающих и выравнивающих слоев оснований из песка</v>
      </c>
      <c r="D435" s="23" t="str">
        <f>Source!H302</f>
        <v>100 м3</v>
      </c>
      <c r="E435" s="9">
        <f>Source!I302</f>
        <v>0.12</v>
      </c>
      <c r="F435" s="25"/>
      <c r="G435" s="24"/>
      <c r="H435" s="9"/>
      <c r="I435" s="9"/>
      <c r="J435" s="26"/>
      <c r="K435" s="26"/>
      <c r="Q435">
        <f>ROUND((Source!BZ302/100)*ROUND((Source!AF302*Source!AV302)*Source!I302, 2), 2)</f>
        <v>260.36</v>
      </c>
      <c r="R435">
        <f>Source!X302</f>
        <v>260.36</v>
      </c>
      <c r="S435">
        <f>ROUND((Source!CA302/100)*ROUND((Source!AF302*Source!AV302)*Source!I302, 2), 2)</f>
        <v>37.19</v>
      </c>
      <c r="T435">
        <f>Source!Y302</f>
        <v>37.19</v>
      </c>
      <c r="U435">
        <f>ROUND((175/100)*ROUND((Source!AE302*Source!AV302)*Source!I302, 2), 2)</f>
        <v>676.83</v>
      </c>
      <c r="V435">
        <f>ROUND((108/100)*ROUND(Source!CS302*Source!I302, 2), 2)</f>
        <v>417.7</v>
      </c>
    </row>
    <row r="436" spans="1:22" x14ac:dyDescent="0.2">
      <c r="C436" s="27" t="str">
        <f>"Объем: "&amp;Source!I302&amp;"=(60*"&amp;"0,2)/"&amp;"100"</f>
        <v>Объем: 0,12=(60*0,2)/100</v>
      </c>
    </row>
    <row r="437" spans="1:22" ht="14.25" x14ac:dyDescent="0.2">
      <c r="A437" s="21"/>
      <c r="B437" s="22"/>
      <c r="C437" s="22" t="s">
        <v>452</v>
      </c>
      <c r="D437" s="23"/>
      <c r="E437" s="9"/>
      <c r="F437" s="25">
        <f>Source!AO302</f>
        <v>3099.54</v>
      </c>
      <c r="G437" s="24" t="str">
        <f>Source!DG302</f>
        <v/>
      </c>
      <c r="H437" s="9">
        <f>Source!AV302</f>
        <v>1</v>
      </c>
      <c r="I437" s="9">
        <f>IF(Source!BA302&lt;&gt; 0, Source!BA302, 1)</f>
        <v>1</v>
      </c>
      <c r="J437" s="26">
        <f>Source!S302</f>
        <v>371.94</v>
      </c>
      <c r="K437" s="26"/>
    </row>
    <row r="438" spans="1:22" ht="14.25" x14ac:dyDescent="0.2">
      <c r="A438" s="21"/>
      <c r="B438" s="22"/>
      <c r="C438" s="22" t="s">
        <v>453</v>
      </c>
      <c r="D438" s="23"/>
      <c r="E438" s="9"/>
      <c r="F438" s="25">
        <f>Source!AM302</f>
        <v>7602.23</v>
      </c>
      <c r="G438" s="24" t="str">
        <f>Source!DE302</f>
        <v/>
      </c>
      <c r="H438" s="9">
        <f>Source!AV302</f>
        <v>1</v>
      </c>
      <c r="I438" s="9">
        <f>IF(Source!BB302&lt;&gt; 0, Source!BB302, 1)</f>
        <v>1</v>
      </c>
      <c r="J438" s="26">
        <f>Source!Q302</f>
        <v>912.27</v>
      </c>
      <c r="K438" s="26"/>
    </row>
    <row r="439" spans="1:22" ht="14.25" x14ac:dyDescent="0.2">
      <c r="A439" s="21"/>
      <c r="B439" s="22"/>
      <c r="C439" s="22" t="s">
        <v>454</v>
      </c>
      <c r="D439" s="23"/>
      <c r="E439" s="9"/>
      <c r="F439" s="25">
        <f>Source!AN302</f>
        <v>3222.98</v>
      </c>
      <c r="G439" s="24" t="str">
        <f>Source!DF302</f>
        <v/>
      </c>
      <c r="H439" s="9">
        <f>Source!AV302</f>
        <v>1</v>
      </c>
      <c r="I439" s="9">
        <f>IF(Source!BS302&lt;&gt; 0, Source!BS302, 1)</f>
        <v>1</v>
      </c>
      <c r="J439" s="28">
        <f>Source!R302</f>
        <v>386.76</v>
      </c>
      <c r="K439" s="26"/>
    </row>
    <row r="440" spans="1:22" ht="14.25" x14ac:dyDescent="0.2">
      <c r="A440" s="21"/>
      <c r="B440" s="22"/>
      <c r="C440" s="22" t="s">
        <v>461</v>
      </c>
      <c r="D440" s="23"/>
      <c r="E440" s="9"/>
      <c r="F440" s="25">
        <f>Source!AL302</f>
        <v>65162.05</v>
      </c>
      <c r="G440" s="24" t="str">
        <f>Source!DD302</f>
        <v/>
      </c>
      <c r="H440" s="9">
        <f>Source!AW302</f>
        <v>1</v>
      </c>
      <c r="I440" s="9">
        <f>IF(Source!BC302&lt;&gt; 0, Source!BC302, 1)</f>
        <v>1</v>
      </c>
      <c r="J440" s="26">
        <f>Source!P302</f>
        <v>7819.45</v>
      </c>
      <c r="K440" s="26"/>
    </row>
    <row r="441" spans="1:22" ht="14.25" x14ac:dyDescent="0.2">
      <c r="A441" s="21"/>
      <c r="B441" s="22"/>
      <c r="C441" s="22" t="s">
        <v>455</v>
      </c>
      <c r="D441" s="23" t="s">
        <v>456</v>
      </c>
      <c r="E441" s="9">
        <f>Source!AT302</f>
        <v>70</v>
      </c>
      <c r="F441" s="25"/>
      <c r="G441" s="24"/>
      <c r="H441" s="9"/>
      <c r="I441" s="9"/>
      <c r="J441" s="26">
        <f>SUM(R435:R440)</f>
        <v>260.36</v>
      </c>
      <c r="K441" s="26"/>
    </row>
    <row r="442" spans="1:22" ht="14.25" x14ac:dyDescent="0.2">
      <c r="A442" s="21"/>
      <c r="B442" s="22"/>
      <c r="C442" s="22" t="s">
        <v>457</v>
      </c>
      <c r="D442" s="23" t="s">
        <v>456</v>
      </c>
      <c r="E442" s="9">
        <f>Source!AU302</f>
        <v>10</v>
      </c>
      <c r="F442" s="25"/>
      <c r="G442" s="24"/>
      <c r="H442" s="9"/>
      <c r="I442" s="9"/>
      <c r="J442" s="26">
        <f>SUM(T435:T441)</f>
        <v>37.19</v>
      </c>
      <c r="K442" s="26"/>
    </row>
    <row r="443" spans="1:22" ht="14.25" x14ac:dyDescent="0.2">
      <c r="A443" s="21"/>
      <c r="B443" s="22"/>
      <c r="C443" s="22" t="s">
        <v>458</v>
      </c>
      <c r="D443" s="23" t="s">
        <v>456</v>
      </c>
      <c r="E443" s="9">
        <f>108</f>
        <v>108</v>
      </c>
      <c r="F443" s="25"/>
      <c r="G443" s="24"/>
      <c r="H443" s="9"/>
      <c r="I443" s="9"/>
      <c r="J443" s="26">
        <f>SUM(V435:V442)</f>
        <v>417.7</v>
      </c>
      <c r="K443" s="26"/>
    </row>
    <row r="444" spans="1:22" ht="14.25" x14ac:dyDescent="0.2">
      <c r="A444" s="21"/>
      <c r="B444" s="22"/>
      <c r="C444" s="22" t="s">
        <v>459</v>
      </c>
      <c r="D444" s="23" t="s">
        <v>460</v>
      </c>
      <c r="E444" s="9">
        <f>Source!AQ302</f>
        <v>16.559999999999999</v>
      </c>
      <c r="F444" s="25"/>
      <c r="G444" s="24" t="str">
        <f>Source!DI302</f>
        <v/>
      </c>
      <c r="H444" s="9">
        <f>Source!AV302</f>
        <v>1</v>
      </c>
      <c r="I444" s="9"/>
      <c r="J444" s="26"/>
      <c r="K444" s="26">
        <f>Source!U302</f>
        <v>1.9871999999999999</v>
      </c>
    </row>
    <row r="445" spans="1:22" ht="15" x14ac:dyDescent="0.25">
      <c r="A445" s="31"/>
      <c r="B445" s="31"/>
      <c r="C445" s="31"/>
      <c r="D445" s="31"/>
      <c r="E445" s="31"/>
      <c r="F445" s="31"/>
      <c r="G445" s="31"/>
      <c r="H445" s="31"/>
      <c r="I445" s="63">
        <f>J437+J438+J440+J441+J442+J443</f>
        <v>9818.9100000000017</v>
      </c>
      <c r="J445" s="63"/>
      <c r="K445" s="32">
        <f>IF(Source!I302&lt;&gt;0, ROUND(I445/Source!I302, 2), 0)</f>
        <v>81824.25</v>
      </c>
      <c r="P445" s="29">
        <f>I445</f>
        <v>9818.9100000000017</v>
      </c>
    </row>
    <row r="446" spans="1:22" ht="29.25" customHeight="1" x14ac:dyDescent="0.2">
      <c r="A446" s="21" t="str">
        <f>Source!E303</f>
        <v>49</v>
      </c>
      <c r="B446" s="22" t="str">
        <f>Source!F303</f>
        <v>2.1-3303-1-2/1</v>
      </c>
      <c r="C446" s="22" t="str">
        <f>Source!G303</f>
        <v>Устройство подстилающих и выравнивающих слоев оснований из щебня</v>
      </c>
      <c r="D446" s="23" t="str">
        <f>Source!H303</f>
        <v>100 м3</v>
      </c>
      <c r="E446" s="9">
        <f>Source!I303</f>
        <v>7.1999999999999995E-2</v>
      </c>
      <c r="F446" s="25"/>
      <c r="G446" s="24"/>
      <c r="H446" s="9"/>
      <c r="I446" s="9"/>
      <c r="J446" s="26"/>
      <c r="K446" s="26"/>
      <c r="Q446">
        <f>ROUND((Source!BZ303/100)*ROUND((Source!AF303*Source!AV303)*Source!I303, 2), 2)</f>
        <v>234.33</v>
      </c>
      <c r="R446">
        <f>Source!X303</f>
        <v>234.33</v>
      </c>
      <c r="S446">
        <f>ROUND((Source!CA303/100)*ROUND((Source!AF303*Source!AV303)*Source!I303, 2), 2)</f>
        <v>33.479999999999997</v>
      </c>
      <c r="T446">
        <f>Source!Y303</f>
        <v>33.479999999999997</v>
      </c>
      <c r="U446">
        <f>ROUND((175/100)*ROUND((Source!AE303*Source!AV303)*Source!I303, 2), 2)</f>
        <v>2673.11</v>
      </c>
      <c r="V446">
        <f>ROUND((108/100)*ROUND(Source!CS303*Source!I303, 2), 2)</f>
        <v>1649.69</v>
      </c>
    </row>
    <row r="447" spans="1:22" x14ac:dyDescent="0.2">
      <c r="C447" s="27" t="str">
        <f>"Объем: "&amp;Source!I303&amp;"=(60*"&amp;"0,12)/"&amp;"100"</f>
        <v>Объем: 0,072=(60*0,12)/100</v>
      </c>
    </row>
    <row r="448" spans="1:22" ht="14.25" x14ac:dyDescent="0.2">
      <c r="A448" s="21"/>
      <c r="B448" s="22"/>
      <c r="C448" s="22" t="s">
        <v>452</v>
      </c>
      <c r="D448" s="23"/>
      <c r="E448" s="9"/>
      <c r="F448" s="25">
        <f>Source!AO303</f>
        <v>4649.3</v>
      </c>
      <c r="G448" s="24" t="str">
        <f>Source!DG303</f>
        <v/>
      </c>
      <c r="H448" s="9">
        <f>Source!AV303</f>
        <v>1</v>
      </c>
      <c r="I448" s="9">
        <f>IF(Source!BA303&lt;&gt; 0, Source!BA303, 1)</f>
        <v>1</v>
      </c>
      <c r="J448" s="26">
        <f>Source!S303</f>
        <v>334.75</v>
      </c>
      <c r="K448" s="26"/>
    </row>
    <row r="449" spans="1:22" ht="14.25" x14ac:dyDescent="0.2">
      <c r="A449" s="21"/>
      <c r="B449" s="22"/>
      <c r="C449" s="22" t="s">
        <v>453</v>
      </c>
      <c r="D449" s="23"/>
      <c r="E449" s="9"/>
      <c r="F449" s="25">
        <f>Source!AM303</f>
        <v>53736.02</v>
      </c>
      <c r="G449" s="24" t="str">
        <f>Source!DE303</f>
        <v/>
      </c>
      <c r="H449" s="9">
        <f>Source!AV303</f>
        <v>1</v>
      </c>
      <c r="I449" s="9">
        <f>IF(Source!BB303&lt;&gt; 0, Source!BB303, 1)</f>
        <v>1</v>
      </c>
      <c r="J449" s="26">
        <f>Source!Q303</f>
        <v>3868.99</v>
      </c>
      <c r="K449" s="26"/>
    </row>
    <row r="450" spans="1:22" ht="14.25" x14ac:dyDescent="0.2">
      <c r="A450" s="21"/>
      <c r="B450" s="22"/>
      <c r="C450" s="22" t="s">
        <v>454</v>
      </c>
      <c r="D450" s="23"/>
      <c r="E450" s="9"/>
      <c r="F450" s="25">
        <f>Source!AN303</f>
        <v>21215.13</v>
      </c>
      <c r="G450" s="24" t="str">
        <f>Source!DF303</f>
        <v/>
      </c>
      <c r="H450" s="9">
        <f>Source!AV303</f>
        <v>1</v>
      </c>
      <c r="I450" s="9">
        <f>IF(Source!BS303&lt;&gt; 0, Source!BS303, 1)</f>
        <v>1</v>
      </c>
      <c r="J450" s="28">
        <f>Source!R303</f>
        <v>1527.49</v>
      </c>
      <c r="K450" s="26"/>
    </row>
    <row r="451" spans="1:22" ht="14.25" x14ac:dyDescent="0.2">
      <c r="A451" s="21"/>
      <c r="B451" s="22"/>
      <c r="C451" s="22" t="s">
        <v>461</v>
      </c>
      <c r="D451" s="23"/>
      <c r="E451" s="9"/>
      <c r="F451" s="25">
        <f>Source!AL303</f>
        <v>222479.25</v>
      </c>
      <c r="G451" s="24" t="str">
        <f>Source!DD303</f>
        <v/>
      </c>
      <c r="H451" s="9">
        <f>Source!AW303</f>
        <v>1</v>
      </c>
      <c r="I451" s="9">
        <f>IF(Source!BC303&lt;&gt; 0, Source!BC303, 1)</f>
        <v>1</v>
      </c>
      <c r="J451" s="26">
        <f>Source!P303</f>
        <v>16018.51</v>
      </c>
      <c r="K451" s="26"/>
    </row>
    <row r="452" spans="1:22" ht="14.25" x14ac:dyDescent="0.2">
      <c r="A452" s="21"/>
      <c r="B452" s="22"/>
      <c r="C452" s="22" t="s">
        <v>455</v>
      </c>
      <c r="D452" s="23" t="s">
        <v>456</v>
      </c>
      <c r="E452" s="9">
        <f>Source!AT303</f>
        <v>70</v>
      </c>
      <c r="F452" s="25"/>
      <c r="G452" s="24"/>
      <c r="H452" s="9"/>
      <c r="I452" s="9"/>
      <c r="J452" s="26">
        <f>SUM(R446:R451)</f>
        <v>234.33</v>
      </c>
      <c r="K452" s="26"/>
    </row>
    <row r="453" spans="1:22" ht="14.25" x14ac:dyDescent="0.2">
      <c r="A453" s="21"/>
      <c r="B453" s="22"/>
      <c r="C453" s="22" t="s">
        <v>457</v>
      </c>
      <c r="D453" s="23" t="s">
        <v>456</v>
      </c>
      <c r="E453" s="9">
        <f>Source!AU303</f>
        <v>10</v>
      </c>
      <c r="F453" s="25"/>
      <c r="G453" s="24"/>
      <c r="H453" s="9"/>
      <c r="I453" s="9"/>
      <c r="J453" s="26">
        <f>SUM(T446:T452)</f>
        <v>33.479999999999997</v>
      </c>
      <c r="K453" s="26"/>
    </row>
    <row r="454" spans="1:22" ht="14.25" x14ac:dyDescent="0.2">
      <c r="A454" s="21"/>
      <c r="B454" s="22"/>
      <c r="C454" s="22" t="s">
        <v>458</v>
      </c>
      <c r="D454" s="23" t="s">
        <v>456</v>
      </c>
      <c r="E454" s="9">
        <f>108</f>
        <v>108</v>
      </c>
      <c r="F454" s="25"/>
      <c r="G454" s="24"/>
      <c r="H454" s="9"/>
      <c r="I454" s="9"/>
      <c r="J454" s="26">
        <f>SUM(V446:V453)</f>
        <v>1649.69</v>
      </c>
      <c r="K454" s="26"/>
    </row>
    <row r="455" spans="1:22" ht="14.25" x14ac:dyDescent="0.2">
      <c r="A455" s="21"/>
      <c r="B455" s="22"/>
      <c r="C455" s="22" t="s">
        <v>459</v>
      </c>
      <c r="D455" s="23" t="s">
        <v>460</v>
      </c>
      <c r="E455" s="9">
        <f>Source!AQ303</f>
        <v>24.84</v>
      </c>
      <c r="F455" s="25"/>
      <c r="G455" s="24" t="str">
        <f>Source!DI303</f>
        <v/>
      </c>
      <c r="H455" s="9">
        <f>Source!AV303</f>
        <v>1</v>
      </c>
      <c r="I455" s="9"/>
      <c r="J455" s="26"/>
      <c r="K455" s="26">
        <f>Source!U303</f>
        <v>1.7884799999999998</v>
      </c>
    </row>
    <row r="456" spans="1:22" ht="15" x14ac:dyDescent="0.25">
      <c r="A456" s="31"/>
      <c r="B456" s="31"/>
      <c r="C456" s="31"/>
      <c r="D456" s="31"/>
      <c r="E456" s="31"/>
      <c r="F456" s="31"/>
      <c r="G456" s="31"/>
      <c r="H456" s="31"/>
      <c r="I456" s="63">
        <f>J448+J449+J451+J452+J453+J454</f>
        <v>22139.75</v>
      </c>
      <c r="J456" s="63"/>
      <c r="K456" s="32">
        <f>IF(Source!I303&lt;&gt;0, ROUND(I456/Source!I303, 2), 0)</f>
        <v>307496.53000000003</v>
      </c>
      <c r="P456" s="29">
        <f>I456</f>
        <v>22139.75</v>
      </c>
    </row>
    <row r="457" spans="1:22" ht="42.75" x14ac:dyDescent="0.2">
      <c r="A457" s="21" t="str">
        <f>Source!E304</f>
        <v>50</v>
      </c>
      <c r="B457" s="22" t="str">
        <f>Source!F304</f>
        <v>2.1-3103-17-1/1</v>
      </c>
      <c r="C457" s="22" t="str">
        <f>Source!G304</f>
        <v>Устройство покрытий тротуаров из бетонной плитки типа "Брусчатка" рядовым или паркетным мощением</v>
      </c>
      <c r="D457" s="23" t="str">
        <f>Source!H304</f>
        <v>100 м2</v>
      </c>
      <c r="E457" s="9">
        <f>Source!I304</f>
        <v>0.6</v>
      </c>
      <c r="F457" s="25"/>
      <c r="G457" s="24"/>
      <c r="H457" s="9"/>
      <c r="I457" s="9"/>
      <c r="J457" s="26"/>
      <c r="K457" s="26"/>
      <c r="Q457">
        <f>ROUND((Source!BZ304/100)*ROUND((Source!AF304*Source!AV304)*Source!I304, 2), 2)</f>
        <v>11412.72</v>
      </c>
      <c r="R457">
        <f>Source!X304</f>
        <v>11412.72</v>
      </c>
      <c r="S457">
        <f>ROUND((Source!CA304/100)*ROUND((Source!AF304*Source!AV304)*Source!I304, 2), 2)</f>
        <v>1630.39</v>
      </c>
      <c r="T457">
        <f>Source!Y304</f>
        <v>1630.39</v>
      </c>
      <c r="U457">
        <f>ROUND((175/100)*ROUND((Source!AE304*Source!AV304)*Source!I304, 2), 2)</f>
        <v>18.760000000000002</v>
      </c>
      <c r="V457">
        <f>ROUND((108/100)*ROUND(Source!CS304*Source!I304, 2), 2)</f>
        <v>11.58</v>
      </c>
    </row>
    <row r="458" spans="1:22" x14ac:dyDescent="0.2">
      <c r="C458" s="27" t="str">
        <f>"Объем: "&amp;Source!I304&amp;"=60/"&amp;"100"</f>
        <v>Объем: 0,6=60/100</v>
      </c>
    </row>
    <row r="459" spans="1:22" ht="14.25" x14ac:dyDescent="0.2">
      <c r="A459" s="21"/>
      <c r="B459" s="22"/>
      <c r="C459" s="22" t="s">
        <v>452</v>
      </c>
      <c r="D459" s="23"/>
      <c r="E459" s="9"/>
      <c r="F459" s="25">
        <f>Source!AO304</f>
        <v>27173.15</v>
      </c>
      <c r="G459" s="24" t="str">
        <f>Source!DG304</f>
        <v/>
      </c>
      <c r="H459" s="9">
        <f>Source!AV304</f>
        <v>1</v>
      </c>
      <c r="I459" s="9">
        <f>IF(Source!BA304&lt;&gt; 0, Source!BA304, 1)</f>
        <v>1</v>
      </c>
      <c r="J459" s="26">
        <f>Source!S304</f>
        <v>16303.89</v>
      </c>
      <c r="K459" s="26"/>
    </row>
    <row r="460" spans="1:22" ht="14.25" x14ac:dyDescent="0.2">
      <c r="A460" s="21"/>
      <c r="B460" s="22"/>
      <c r="C460" s="22" t="s">
        <v>453</v>
      </c>
      <c r="D460" s="23"/>
      <c r="E460" s="9"/>
      <c r="F460" s="25">
        <f>Source!AM304</f>
        <v>394.71</v>
      </c>
      <c r="G460" s="24" t="str">
        <f>Source!DE304</f>
        <v/>
      </c>
      <c r="H460" s="9">
        <f>Source!AV304</f>
        <v>1</v>
      </c>
      <c r="I460" s="9">
        <f>IF(Source!BB304&lt;&gt; 0, Source!BB304, 1)</f>
        <v>1</v>
      </c>
      <c r="J460" s="26">
        <f>Source!Q304</f>
        <v>236.83</v>
      </c>
      <c r="K460" s="26"/>
    </row>
    <row r="461" spans="1:22" ht="14.25" x14ac:dyDescent="0.2">
      <c r="A461" s="21"/>
      <c r="B461" s="22"/>
      <c r="C461" s="22" t="s">
        <v>454</v>
      </c>
      <c r="D461" s="23"/>
      <c r="E461" s="9"/>
      <c r="F461" s="25">
        <f>Source!AN304</f>
        <v>17.86</v>
      </c>
      <c r="G461" s="24" t="str">
        <f>Source!DF304</f>
        <v/>
      </c>
      <c r="H461" s="9">
        <f>Source!AV304</f>
        <v>1</v>
      </c>
      <c r="I461" s="9">
        <f>IF(Source!BS304&lt;&gt; 0, Source!BS304, 1)</f>
        <v>1</v>
      </c>
      <c r="J461" s="28">
        <f>Source!R304</f>
        <v>10.72</v>
      </c>
      <c r="K461" s="26"/>
    </row>
    <row r="462" spans="1:22" ht="14.25" x14ac:dyDescent="0.2">
      <c r="A462" s="21"/>
      <c r="B462" s="22"/>
      <c r="C462" s="22" t="s">
        <v>461</v>
      </c>
      <c r="D462" s="23"/>
      <c r="E462" s="9"/>
      <c r="F462" s="25">
        <f>Source!AL304</f>
        <v>41101.42</v>
      </c>
      <c r="G462" s="24" t="str">
        <f>Source!DD304</f>
        <v/>
      </c>
      <c r="H462" s="9">
        <f>Source!AW304</f>
        <v>1</v>
      </c>
      <c r="I462" s="9">
        <f>IF(Source!BC304&lt;&gt; 0, Source!BC304, 1)</f>
        <v>1</v>
      </c>
      <c r="J462" s="26">
        <f>Source!P304</f>
        <v>24660.85</v>
      </c>
      <c r="K462" s="26"/>
    </row>
    <row r="463" spans="1:22" ht="28.5" x14ac:dyDescent="0.2">
      <c r="A463" s="21" t="str">
        <f>Source!E305</f>
        <v>50,1</v>
      </c>
      <c r="B463" s="22" t="str">
        <f>Source!F305</f>
        <v>21.5-1-6</v>
      </c>
      <c r="C463" s="22" t="str">
        <f>Source!G305</f>
        <v>Плиты бетонные тротуарные, толщина 70 мм, цвет серый</v>
      </c>
      <c r="D463" s="23" t="str">
        <f>Source!H305</f>
        <v>м2</v>
      </c>
      <c r="E463" s="9">
        <f>Source!I305</f>
        <v>60</v>
      </c>
      <c r="F463" s="25">
        <f>Source!AK305</f>
        <v>664.27</v>
      </c>
      <c r="G463" s="33" t="s">
        <v>3</v>
      </c>
      <c r="H463" s="9">
        <f>Source!AW305</f>
        <v>1</v>
      </c>
      <c r="I463" s="9">
        <f>IF(Source!BC305&lt;&gt; 0, Source!BC305, 1)</f>
        <v>1</v>
      </c>
      <c r="J463" s="26">
        <f>Source!O305</f>
        <v>39856.199999999997</v>
      </c>
      <c r="K463" s="26"/>
      <c r="Q463">
        <f>ROUND((Source!BZ305/100)*ROUND((Source!AF305*Source!AV305)*Source!I305, 2), 2)</f>
        <v>0</v>
      </c>
      <c r="R463">
        <f>Source!X305</f>
        <v>0</v>
      </c>
      <c r="S463">
        <f>ROUND((Source!CA305/100)*ROUND((Source!AF305*Source!AV305)*Source!I305, 2), 2)</f>
        <v>0</v>
      </c>
      <c r="T463">
        <f>Source!Y305</f>
        <v>0</v>
      </c>
      <c r="U463">
        <f>ROUND((175/100)*ROUND((Source!AE305*Source!AV305)*Source!I305, 2), 2)</f>
        <v>0</v>
      </c>
      <c r="V463">
        <f>ROUND((108/100)*ROUND(Source!CS305*Source!I305, 2), 2)</f>
        <v>0</v>
      </c>
    </row>
    <row r="464" spans="1:22" ht="14.25" x14ac:dyDescent="0.2">
      <c r="A464" s="21"/>
      <c r="B464" s="22"/>
      <c r="C464" s="22" t="s">
        <v>455</v>
      </c>
      <c r="D464" s="23" t="s">
        <v>456</v>
      </c>
      <c r="E464" s="9">
        <f>Source!AT304</f>
        <v>70</v>
      </c>
      <c r="F464" s="25"/>
      <c r="G464" s="24"/>
      <c r="H464" s="9"/>
      <c r="I464" s="9"/>
      <c r="J464" s="26">
        <f>SUM(R457:R463)</f>
        <v>11412.72</v>
      </c>
      <c r="K464" s="26"/>
    </row>
    <row r="465" spans="1:32" ht="14.25" x14ac:dyDescent="0.2">
      <c r="A465" s="21"/>
      <c r="B465" s="22"/>
      <c r="C465" s="22" t="s">
        <v>457</v>
      </c>
      <c r="D465" s="23" t="s">
        <v>456</v>
      </c>
      <c r="E465" s="9">
        <f>Source!AU304</f>
        <v>10</v>
      </c>
      <c r="F465" s="25"/>
      <c r="G465" s="24"/>
      <c r="H465" s="9"/>
      <c r="I465" s="9"/>
      <c r="J465" s="26">
        <f>SUM(T457:T464)</f>
        <v>1630.39</v>
      </c>
      <c r="K465" s="26"/>
    </row>
    <row r="466" spans="1:32" ht="14.25" x14ac:dyDescent="0.2">
      <c r="A466" s="21"/>
      <c r="B466" s="22"/>
      <c r="C466" s="22" t="s">
        <v>458</v>
      </c>
      <c r="D466" s="23" t="s">
        <v>456</v>
      </c>
      <c r="E466" s="9">
        <f>108</f>
        <v>108</v>
      </c>
      <c r="F466" s="25"/>
      <c r="G466" s="24"/>
      <c r="H466" s="9"/>
      <c r="I466" s="9"/>
      <c r="J466" s="26">
        <f>SUM(V457:V465)</f>
        <v>11.58</v>
      </c>
      <c r="K466" s="26"/>
    </row>
    <row r="467" spans="1:32" ht="14.25" x14ac:dyDescent="0.2">
      <c r="A467" s="21"/>
      <c r="B467" s="22"/>
      <c r="C467" s="22" t="s">
        <v>459</v>
      </c>
      <c r="D467" s="23" t="s">
        <v>460</v>
      </c>
      <c r="E467" s="9">
        <f>Source!AQ304</f>
        <v>134.08000000000001</v>
      </c>
      <c r="F467" s="25"/>
      <c r="G467" s="24" t="str">
        <f>Source!DI304</f>
        <v/>
      </c>
      <c r="H467" s="9">
        <f>Source!AV304</f>
        <v>1</v>
      </c>
      <c r="I467" s="9"/>
      <c r="J467" s="26"/>
      <c r="K467" s="26">
        <f>Source!U304</f>
        <v>80.448000000000008</v>
      </c>
    </row>
    <row r="468" spans="1:32" ht="15" x14ac:dyDescent="0.25">
      <c r="A468" s="31"/>
      <c r="B468" s="31"/>
      <c r="C468" s="31"/>
      <c r="D468" s="31"/>
      <c r="E468" s="31"/>
      <c r="F468" s="31"/>
      <c r="G468" s="31"/>
      <c r="H468" s="31"/>
      <c r="I468" s="63">
        <f>J459+J460+J462+J464+J465+J466+SUM(J463:J463)</f>
        <v>94112.459999999992</v>
      </c>
      <c r="J468" s="63"/>
      <c r="K468" s="32">
        <f>IF(Source!I304&lt;&gt;0, ROUND(I468/Source!I304, 2), 0)</f>
        <v>156854.1</v>
      </c>
      <c r="P468" s="29">
        <f>I468</f>
        <v>94112.459999999992</v>
      </c>
    </row>
    <row r="470" spans="1:32" ht="15" x14ac:dyDescent="0.25">
      <c r="A470" s="59" t="str">
        <f>CONCATENATE("Итого по разделу: ",IF(Source!G307&lt;&gt;"Новый раздел", Source!G307, ""))</f>
        <v>Итого по разделу: Раздел 27.1 Устройство нового пешеходного покрытия из бетонной плитки - 60 м2</v>
      </c>
      <c r="B470" s="59"/>
      <c r="C470" s="59"/>
      <c r="D470" s="59"/>
      <c r="E470" s="59"/>
      <c r="F470" s="59"/>
      <c r="G470" s="59"/>
      <c r="H470" s="59"/>
      <c r="I470" s="60">
        <f>SUM(P398:P469)</f>
        <v>157179.47</v>
      </c>
      <c r="J470" s="61"/>
      <c r="K470" s="34"/>
      <c r="AF470" s="35" t="str">
        <f>CONCATENATE("Итого по разделу: ",IF(Source!G307&lt;&gt;"Новый раздел", Source!G307, ""))</f>
        <v>Итого по разделу: Раздел 27.1 Устройство нового пешеходного покрытия из бетонной плитки - 60 м2</v>
      </c>
    </row>
    <row r="471" spans="1:32" ht="2.25" customHeight="1" x14ac:dyDescent="0.2"/>
    <row r="472" spans="1:32" ht="14.25" x14ac:dyDescent="0.2">
      <c r="C472" s="57" t="str">
        <f>Source!H335</f>
        <v>Итого</v>
      </c>
      <c r="D472" s="57"/>
      <c r="E472" s="57"/>
      <c r="F472" s="57"/>
      <c r="G472" s="57"/>
      <c r="H472" s="57"/>
      <c r="I472" s="58">
        <f>IF(Source!F335=0, "", Source!F335)</f>
        <v>157179.47</v>
      </c>
      <c r="J472" s="58"/>
    </row>
    <row r="473" spans="1:32" ht="14.25" x14ac:dyDescent="0.2">
      <c r="C473" s="57" t="str">
        <f>Source!H336</f>
        <v>НДС 20%</v>
      </c>
      <c r="D473" s="57"/>
      <c r="E473" s="57"/>
      <c r="F473" s="57"/>
      <c r="G473" s="57"/>
      <c r="H473" s="57"/>
      <c r="I473" s="58">
        <f>IF(Source!F336=0, "", Source!F336)</f>
        <v>31435.89</v>
      </c>
      <c r="J473" s="58"/>
    </row>
    <row r="474" spans="1:32" ht="14.25" x14ac:dyDescent="0.2">
      <c r="C474" s="57" t="str">
        <f>Source!H337</f>
        <v>Всего</v>
      </c>
      <c r="D474" s="57"/>
      <c r="E474" s="57"/>
      <c r="F474" s="57"/>
      <c r="G474" s="57"/>
      <c r="H474" s="57"/>
      <c r="I474" s="58">
        <f>IF(Source!F337=0, "", Source!F337)</f>
        <v>188615.36</v>
      </c>
      <c r="J474" s="58"/>
    </row>
    <row r="476" spans="1:32" ht="16.5" x14ac:dyDescent="0.25">
      <c r="A476" s="62" t="str">
        <f>CONCATENATE("Раздел: ",IF(Source!G339&lt;&gt;"Новый раздел", Source!G339, ""))</f>
        <v xml:space="preserve">Раздел: 28. Замена/ устройство бортового камня  садового (для дорожно-тропиночной сети) </v>
      </c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AE476" s="20" t="str">
        <f>CONCATENATE("Раздел: ",IF(Source!G339&lt;&gt;"Новый раздел", Source!G339, ""))</f>
        <v xml:space="preserve">Раздел: 28. Замена/ устройство бортового камня  садового (для дорожно-тропиночной сети) </v>
      </c>
    </row>
    <row r="477" spans="1:32" ht="28.5" x14ac:dyDescent="0.2">
      <c r="A477" s="21" t="str">
        <f>Source!E343</f>
        <v>51</v>
      </c>
      <c r="B477" s="22" t="str">
        <f>Source!F343</f>
        <v>2.1-3204-6-1/1</v>
      </c>
      <c r="C477" s="22" t="str">
        <f>Source!G343</f>
        <v>Разборка бортовых камней на бетонном основании</v>
      </c>
      <c r="D477" s="23" t="str">
        <f>Source!H343</f>
        <v>100 м</v>
      </c>
      <c r="E477" s="9">
        <f>Source!I343</f>
        <v>1.4</v>
      </c>
      <c r="F477" s="25"/>
      <c r="G477" s="24"/>
      <c r="H477" s="9"/>
      <c r="I477" s="9"/>
      <c r="J477" s="26"/>
      <c r="K477" s="26"/>
      <c r="Q477">
        <f>ROUND((Source!BZ343/100)*ROUND((Source!AF343*Source!AV343)*Source!I343, 2), 2)</f>
        <v>15195.56</v>
      </c>
      <c r="R477">
        <f>Source!X343</f>
        <v>15195.56</v>
      </c>
      <c r="S477">
        <f>ROUND((Source!CA343/100)*ROUND((Source!AF343*Source!AV343)*Source!I343, 2), 2)</f>
        <v>2170.79</v>
      </c>
      <c r="T477">
        <f>Source!Y343</f>
        <v>2170.79</v>
      </c>
      <c r="U477">
        <f>ROUND((175/100)*ROUND((Source!AE343*Source!AV343)*Source!I343, 2), 2)</f>
        <v>0</v>
      </c>
      <c r="V477">
        <f>ROUND((108/100)*ROUND(Source!CS343*Source!I343, 2), 2)</f>
        <v>0</v>
      </c>
    </row>
    <row r="478" spans="1:32" x14ac:dyDescent="0.2">
      <c r="C478" s="27" t="str">
        <f>"Объем: "&amp;Source!I343&amp;"=140/"&amp;"100"</f>
        <v>Объем: 1,4=140/100</v>
      </c>
    </row>
    <row r="479" spans="1:32" ht="14.25" x14ac:dyDescent="0.2">
      <c r="A479" s="21"/>
      <c r="B479" s="22"/>
      <c r="C479" s="22" t="s">
        <v>452</v>
      </c>
      <c r="D479" s="23"/>
      <c r="E479" s="9"/>
      <c r="F479" s="25">
        <f>Source!AO343</f>
        <v>15505.67</v>
      </c>
      <c r="G479" s="24" t="str">
        <f>Source!DG343</f>
        <v/>
      </c>
      <c r="H479" s="9">
        <f>Source!AV343</f>
        <v>1</v>
      </c>
      <c r="I479" s="9">
        <f>IF(Source!BA343&lt;&gt; 0, Source!BA343, 1)</f>
        <v>1</v>
      </c>
      <c r="J479" s="26">
        <f>Source!S343</f>
        <v>21707.94</v>
      </c>
      <c r="K479" s="26"/>
    </row>
    <row r="480" spans="1:32" ht="14.25" x14ac:dyDescent="0.2">
      <c r="A480" s="21"/>
      <c r="B480" s="22"/>
      <c r="C480" s="22" t="s">
        <v>455</v>
      </c>
      <c r="D480" s="23" t="s">
        <v>456</v>
      </c>
      <c r="E480" s="9">
        <f>Source!AT343</f>
        <v>70</v>
      </c>
      <c r="F480" s="25"/>
      <c r="G480" s="24"/>
      <c r="H480" s="9"/>
      <c r="I480" s="9"/>
      <c r="J480" s="26">
        <f>SUM(R477:R479)</f>
        <v>15195.56</v>
      </c>
      <c r="K480" s="26"/>
    </row>
    <row r="481" spans="1:22" ht="14.25" x14ac:dyDescent="0.2">
      <c r="A481" s="21"/>
      <c r="B481" s="22"/>
      <c r="C481" s="22" t="s">
        <v>457</v>
      </c>
      <c r="D481" s="23" t="s">
        <v>456</v>
      </c>
      <c r="E481" s="9">
        <f>Source!AU343</f>
        <v>10</v>
      </c>
      <c r="F481" s="25"/>
      <c r="G481" s="24"/>
      <c r="H481" s="9"/>
      <c r="I481" s="9"/>
      <c r="J481" s="26">
        <f>SUM(T477:T480)</f>
        <v>2170.79</v>
      </c>
      <c r="K481" s="26"/>
    </row>
    <row r="482" spans="1:22" ht="14.25" x14ac:dyDescent="0.2">
      <c r="A482" s="21"/>
      <c r="B482" s="22"/>
      <c r="C482" s="22" t="s">
        <v>459</v>
      </c>
      <c r="D482" s="23" t="s">
        <v>460</v>
      </c>
      <c r="E482" s="9">
        <f>Source!AQ343</f>
        <v>76.7</v>
      </c>
      <c r="F482" s="25"/>
      <c r="G482" s="24" t="str">
        <f>Source!DI343</f>
        <v/>
      </c>
      <c r="H482" s="9">
        <f>Source!AV343</f>
        <v>1</v>
      </c>
      <c r="I482" s="9"/>
      <c r="J482" s="26"/>
      <c r="K482" s="26">
        <f>Source!U343</f>
        <v>107.38</v>
      </c>
    </row>
    <row r="483" spans="1:22" ht="15" x14ac:dyDescent="0.25">
      <c r="A483" s="31"/>
      <c r="B483" s="31"/>
      <c r="C483" s="31"/>
      <c r="D483" s="31"/>
      <c r="E483" s="31"/>
      <c r="F483" s="31"/>
      <c r="G483" s="31"/>
      <c r="H483" s="31"/>
      <c r="I483" s="63">
        <f>J479+J480+J481</f>
        <v>39074.29</v>
      </c>
      <c r="J483" s="63"/>
      <c r="K483" s="32">
        <f>IF(Source!I343&lt;&gt;0, ROUND(I483/Source!I343, 2), 0)</f>
        <v>27910.21</v>
      </c>
      <c r="P483" s="29">
        <f>I483</f>
        <v>39074.29</v>
      </c>
    </row>
    <row r="484" spans="1:22" ht="27.75" customHeight="1" x14ac:dyDescent="0.2">
      <c r="A484" s="21" t="str">
        <f>Source!E344</f>
        <v>52</v>
      </c>
      <c r="B484" s="22" t="str">
        <f>Source!F344</f>
        <v>1.50-3305-4-1/1</v>
      </c>
      <c r="C484" s="22" t="str">
        <f>Source!G344</f>
        <v>Погрузка и выгрузка вручную строительного мусора на транспортные средства</v>
      </c>
      <c r="D484" s="23" t="str">
        <f>Source!H344</f>
        <v>т</v>
      </c>
      <c r="E484" s="9">
        <f>Source!I344</f>
        <v>2.1503999999999999</v>
      </c>
      <c r="F484" s="25"/>
      <c r="G484" s="24"/>
      <c r="H484" s="9"/>
      <c r="I484" s="9"/>
      <c r="J484" s="26"/>
      <c r="K484" s="26"/>
      <c r="Q484">
        <f>ROUND((Source!BZ344/100)*ROUND((Source!AF344*Source!AV344)*Source!I344, 2), 2)</f>
        <v>188.01</v>
      </c>
      <c r="R484">
        <f>Source!X344</f>
        <v>188.01</v>
      </c>
      <c r="S484">
        <f>ROUND((Source!CA344/100)*ROUND((Source!AF344*Source!AV344)*Source!I344, 2), 2)</f>
        <v>26.86</v>
      </c>
      <c r="T484">
        <f>Source!Y344</f>
        <v>26.86</v>
      </c>
      <c r="U484">
        <f>ROUND((175/100)*ROUND((Source!AE344*Source!AV344)*Source!I344, 2), 2)</f>
        <v>0</v>
      </c>
      <c r="V484">
        <f>ROUND((108/100)*ROUND(Source!CS344*Source!I344, 2), 2)</f>
        <v>0</v>
      </c>
    </row>
    <row r="485" spans="1:22" x14ac:dyDescent="0.2">
      <c r="C485" s="27" t="str">
        <f>"Объем: "&amp;Source!I344&amp;"=140*"&amp;"(0,016+"&amp;"0,048)*"&amp;"2,4*"&amp;"0,1"</f>
        <v>Объем: 2,1504=140*(0,016+0,048)*2,4*0,1</v>
      </c>
    </row>
    <row r="486" spans="1:22" ht="14.25" x14ac:dyDescent="0.2">
      <c r="A486" s="21"/>
      <c r="B486" s="22"/>
      <c r="C486" s="22" t="s">
        <v>452</v>
      </c>
      <c r="D486" s="23"/>
      <c r="E486" s="9"/>
      <c r="F486" s="25">
        <f>Source!AO344</f>
        <v>124.9</v>
      </c>
      <c r="G486" s="24" t="str">
        <f>Source!DG344</f>
        <v/>
      </c>
      <c r="H486" s="9">
        <f>Source!AV344</f>
        <v>1</v>
      </c>
      <c r="I486" s="9">
        <f>IF(Source!BA344&lt;&gt; 0, Source!BA344, 1)</f>
        <v>1</v>
      </c>
      <c r="J486" s="26">
        <f>Source!S344</f>
        <v>268.58</v>
      </c>
      <c r="K486" s="26"/>
    </row>
    <row r="487" spans="1:22" ht="14.25" x14ac:dyDescent="0.2">
      <c r="A487" s="21"/>
      <c r="B487" s="22"/>
      <c r="C487" s="22" t="s">
        <v>455</v>
      </c>
      <c r="D487" s="23" t="s">
        <v>456</v>
      </c>
      <c r="E487" s="9">
        <f>Source!AT344</f>
        <v>70</v>
      </c>
      <c r="F487" s="25"/>
      <c r="G487" s="24"/>
      <c r="H487" s="9"/>
      <c r="I487" s="9"/>
      <c r="J487" s="26">
        <f>SUM(R484:R486)</f>
        <v>188.01</v>
      </c>
      <c r="K487" s="26"/>
    </row>
    <row r="488" spans="1:22" ht="14.25" x14ac:dyDescent="0.2">
      <c r="A488" s="21"/>
      <c r="B488" s="22"/>
      <c r="C488" s="22" t="s">
        <v>457</v>
      </c>
      <c r="D488" s="23" t="s">
        <v>456</v>
      </c>
      <c r="E488" s="9">
        <f>Source!AU344</f>
        <v>10</v>
      </c>
      <c r="F488" s="25"/>
      <c r="G488" s="24"/>
      <c r="H488" s="9"/>
      <c r="I488" s="9"/>
      <c r="J488" s="26">
        <f>SUM(T484:T487)</f>
        <v>26.86</v>
      </c>
      <c r="K488" s="26"/>
    </row>
    <row r="489" spans="1:22" ht="14.25" x14ac:dyDescent="0.2">
      <c r="A489" s="21"/>
      <c r="B489" s="22"/>
      <c r="C489" s="22" t="s">
        <v>459</v>
      </c>
      <c r="D489" s="23" t="s">
        <v>460</v>
      </c>
      <c r="E489" s="9">
        <f>Source!AQ344</f>
        <v>1.02</v>
      </c>
      <c r="F489" s="25"/>
      <c r="G489" s="24" t="str">
        <f>Source!DI344</f>
        <v/>
      </c>
      <c r="H489" s="9">
        <f>Source!AV344</f>
        <v>1</v>
      </c>
      <c r="I489" s="9"/>
      <c r="J489" s="26"/>
      <c r="K489" s="26">
        <f>Source!U344</f>
        <v>2.1934079999999998</v>
      </c>
    </row>
    <row r="490" spans="1:22" ht="15" x14ac:dyDescent="0.25">
      <c r="A490" s="31"/>
      <c r="B490" s="31"/>
      <c r="C490" s="31"/>
      <c r="D490" s="31"/>
      <c r="E490" s="31"/>
      <c r="F490" s="31"/>
      <c r="G490" s="31"/>
      <c r="H490" s="31"/>
      <c r="I490" s="63">
        <f>J486+J487+J488</f>
        <v>483.45</v>
      </c>
      <c r="J490" s="63"/>
      <c r="K490" s="32">
        <f>IF(Source!I344&lt;&gt;0, ROUND(I490/Source!I344, 2), 0)</f>
        <v>224.82</v>
      </c>
      <c r="P490" s="29">
        <f>I490</f>
        <v>483.45</v>
      </c>
    </row>
    <row r="491" spans="1:22" ht="30" customHeight="1" x14ac:dyDescent="0.2">
      <c r="A491" s="21" t="str">
        <f>Source!E345</f>
        <v>53</v>
      </c>
      <c r="B491" s="22" t="str">
        <f>Source!F345</f>
        <v>1.49-9101-7-1/1</v>
      </c>
      <c r="C491" s="22" t="str">
        <f>Source!G345</f>
        <v>Механизированная погрузка строительного мусора в автомобили-самосвалы</v>
      </c>
      <c r="D491" s="23" t="str">
        <f>Source!H345</f>
        <v>т</v>
      </c>
      <c r="E491" s="9">
        <f>Source!I345</f>
        <v>19.3536</v>
      </c>
      <c r="F491" s="25"/>
      <c r="G491" s="24"/>
      <c r="H491" s="9"/>
      <c r="I491" s="9"/>
      <c r="J491" s="26"/>
      <c r="K491" s="26"/>
      <c r="Q491">
        <f>ROUND((Source!BZ345/100)*ROUND((Source!AF345*Source!AV345)*Source!I345, 2), 2)</f>
        <v>0</v>
      </c>
      <c r="R491">
        <f>Source!X345</f>
        <v>0</v>
      </c>
      <c r="S491">
        <f>ROUND((Source!CA345/100)*ROUND((Source!AF345*Source!AV345)*Source!I345, 2), 2)</f>
        <v>0</v>
      </c>
      <c r="T491">
        <f>Source!Y345</f>
        <v>0</v>
      </c>
      <c r="U491">
        <f>ROUND((175/100)*ROUND((Source!AE345*Source!AV345)*Source!I345, 2), 2)</f>
        <v>875.18</v>
      </c>
      <c r="V491">
        <f>ROUND((108/100)*ROUND(Source!CS345*Source!I345, 2), 2)</f>
        <v>540.11</v>
      </c>
    </row>
    <row r="492" spans="1:22" x14ac:dyDescent="0.2">
      <c r="C492" s="27" t="str">
        <f>"Объем: "&amp;Source!I345&amp;"=140*"&amp;"(0,016+"&amp;"0,048)*"&amp;"2,4*"&amp;"0,9"</f>
        <v>Объем: 19,3536=140*(0,016+0,048)*2,4*0,9</v>
      </c>
    </row>
    <row r="493" spans="1:22" ht="14.25" x14ac:dyDescent="0.2">
      <c r="A493" s="21"/>
      <c r="B493" s="22"/>
      <c r="C493" s="22" t="s">
        <v>453</v>
      </c>
      <c r="D493" s="23"/>
      <c r="E493" s="9"/>
      <c r="F493" s="25">
        <f>Source!AM345</f>
        <v>80.25</v>
      </c>
      <c r="G493" s="24" t="str">
        <f>Source!DE345</f>
        <v/>
      </c>
      <c r="H493" s="9">
        <f>Source!AV345</f>
        <v>1</v>
      </c>
      <c r="I493" s="9">
        <f>IF(Source!BB345&lt;&gt; 0, Source!BB345, 1)</f>
        <v>1</v>
      </c>
      <c r="J493" s="26">
        <f>Source!Q345</f>
        <v>1553.13</v>
      </c>
      <c r="K493" s="26"/>
    </row>
    <row r="494" spans="1:22" ht="14.25" x14ac:dyDescent="0.2">
      <c r="A494" s="21"/>
      <c r="B494" s="22"/>
      <c r="C494" s="22" t="s">
        <v>454</v>
      </c>
      <c r="D494" s="23"/>
      <c r="E494" s="9"/>
      <c r="F494" s="25">
        <f>Source!AN345</f>
        <v>25.84</v>
      </c>
      <c r="G494" s="24" t="str">
        <f>Source!DF345</f>
        <v/>
      </c>
      <c r="H494" s="9">
        <f>Source!AV345</f>
        <v>1</v>
      </c>
      <c r="I494" s="9">
        <f>IF(Source!BS345&lt;&gt; 0, Source!BS345, 1)</f>
        <v>1</v>
      </c>
      <c r="J494" s="28">
        <f>Source!R345</f>
        <v>500.1</v>
      </c>
      <c r="K494" s="26"/>
    </row>
    <row r="495" spans="1:22" ht="14.25" x14ac:dyDescent="0.2">
      <c r="A495" s="21"/>
      <c r="B495" s="22"/>
      <c r="C495" s="22" t="s">
        <v>458</v>
      </c>
      <c r="D495" s="23" t="s">
        <v>456</v>
      </c>
      <c r="E495" s="9">
        <f>108</f>
        <v>108</v>
      </c>
      <c r="F495" s="25"/>
      <c r="G495" s="24"/>
      <c r="H495" s="9"/>
      <c r="I495" s="9"/>
      <c r="J495" s="26">
        <f>SUM(V491:V494)</f>
        <v>540.11</v>
      </c>
      <c r="K495" s="26"/>
    </row>
    <row r="496" spans="1:22" ht="15" x14ac:dyDescent="0.25">
      <c r="A496" s="31"/>
      <c r="B496" s="31"/>
      <c r="C496" s="31"/>
      <c r="D496" s="31"/>
      <c r="E496" s="31"/>
      <c r="F496" s="31"/>
      <c r="G496" s="31"/>
      <c r="H496" s="31"/>
      <c r="I496" s="63">
        <f>J493+J495</f>
        <v>2093.2400000000002</v>
      </c>
      <c r="J496" s="63"/>
      <c r="K496" s="32">
        <f>IF(Source!I345&lt;&gt;0, ROUND(I496/Source!I345, 2), 0)</f>
        <v>108.16</v>
      </c>
      <c r="P496" s="29">
        <f>I496</f>
        <v>2093.2400000000002</v>
      </c>
    </row>
    <row r="497" spans="1:22" ht="45" customHeight="1" x14ac:dyDescent="0.2">
      <c r="A497" s="21" t="str">
        <f>Source!E346</f>
        <v>54</v>
      </c>
      <c r="B497" s="22" t="str">
        <f>Source!F346</f>
        <v>1.49-9201-1-1/1</v>
      </c>
      <c r="C497" s="22" t="str">
        <f>Source!G346</f>
        <v>Перевозка строительного мусора автосамосвалами грузоподъемностью до 10 т на расстояние 1 км - при погрузке вручную</v>
      </c>
      <c r="D497" s="23" t="str">
        <f>Source!H346</f>
        <v>т</v>
      </c>
      <c r="E497" s="9">
        <f>Source!I346</f>
        <v>2.1503999999999999</v>
      </c>
      <c r="F497" s="25"/>
      <c r="G497" s="24"/>
      <c r="H497" s="9"/>
      <c r="I497" s="9"/>
      <c r="J497" s="26"/>
      <c r="K497" s="26"/>
      <c r="Q497">
        <f>ROUND((Source!BZ346/100)*ROUND((Source!AF346*Source!AV346)*Source!I346, 2), 2)</f>
        <v>0</v>
      </c>
      <c r="R497">
        <f>Source!X346</f>
        <v>0</v>
      </c>
      <c r="S497">
        <f>ROUND((Source!CA346/100)*ROUND((Source!AF346*Source!AV346)*Source!I346, 2), 2)</f>
        <v>0</v>
      </c>
      <c r="T497">
        <f>Source!Y346</f>
        <v>0</v>
      </c>
      <c r="U497">
        <f>ROUND((175/100)*ROUND((Source!AE346*Source!AV346)*Source!I346, 2), 2)</f>
        <v>339.36</v>
      </c>
      <c r="V497">
        <f>ROUND((108/100)*ROUND(Source!CS346*Source!I346, 2), 2)</f>
        <v>209.43</v>
      </c>
    </row>
    <row r="498" spans="1:22" ht="14.25" x14ac:dyDescent="0.2">
      <c r="A498" s="21"/>
      <c r="B498" s="22"/>
      <c r="C498" s="22" t="s">
        <v>453</v>
      </c>
      <c r="D498" s="23"/>
      <c r="E498" s="9"/>
      <c r="F498" s="25">
        <f>Source!AM346</f>
        <v>165.91</v>
      </c>
      <c r="G498" s="24" t="str">
        <f>Source!DE346</f>
        <v/>
      </c>
      <c r="H498" s="9">
        <f>Source!AV346</f>
        <v>1</v>
      </c>
      <c r="I498" s="9">
        <f>IF(Source!BB346&lt;&gt; 0, Source!BB346, 1)</f>
        <v>1</v>
      </c>
      <c r="J498" s="26">
        <f>Source!Q346</f>
        <v>356.77</v>
      </c>
      <c r="K498" s="26"/>
    </row>
    <row r="499" spans="1:22" ht="14.25" x14ac:dyDescent="0.2">
      <c r="A499" s="21"/>
      <c r="B499" s="22"/>
      <c r="C499" s="22" t="s">
        <v>454</v>
      </c>
      <c r="D499" s="23"/>
      <c r="E499" s="9"/>
      <c r="F499" s="25">
        <f>Source!AN346</f>
        <v>90.18</v>
      </c>
      <c r="G499" s="24" t="str">
        <f>Source!DF346</f>
        <v/>
      </c>
      <c r="H499" s="9">
        <f>Source!AV346</f>
        <v>1</v>
      </c>
      <c r="I499" s="9">
        <f>IF(Source!BS346&lt;&gt; 0, Source!BS346, 1)</f>
        <v>1</v>
      </c>
      <c r="J499" s="28">
        <f>Source!R346</f>
        <v>193.92</v>
      </c>
      <c r="K499" s="26"/>
    </row>
    <row r="500" spans="1:22" ht="15" x14ac:dyDescent="0.25">
      <c r="A500" s="31"/>
      <c r="B500" s="31"/>
      <c r="C500" s="31"/>
      <c r="D500" s="31"/>
      <c r="E500" s="31"/>
      <c r="F500" s="31"/>
      <c r="G500" s="31"/>
      <c r="H500" s="31"/>
      <c r="I500" s="63">
        <f>J498</f>
        <v>356.77</v>
      </c>
      <c r="J500" s="63"/>
      <c r="K500" s="32">
        <f>IF(Source!I346&lt;&gt;0, ROUND(I500/Source!I346, 2), 0)</f>
        <v>165.91</v>
      </c>
      <c r="P500" s="29">
        <f>I500</f>
        <v>356.77</v>
      </c>
    </row>
    <row r="501" spans="1:22" ht="57" x14ac:dyDescent="0.2">
      <c r="A501" s="21" t="str">
        <f>Source!E347</f>
        <v>55</v>
      </c>
      <c r="B501" s="22" t="str">
        <f>Source!F347</f>
        <v>1.49-9201-1-2/1</v>
      </c>
      <c r="C501" s="22" t="str">
        <f>Source!G347</f>
        <v>Перевозка строительного мусора автосамосвалами грузоподъемностью до 10 т на расстояние 1 км - при механизированной погрузке</v>
      </c>
      <c r="D501" s="23" t="str">
        <f>Source!H347</f>
        <v>т</v>
      </c>
      <c r="E501" s="9">
        <f>Source!I347</f>
        <v>19.3536</v>
      </c>
      <c r="F501" s="25"/>
      <c r="G501" s="24"/>
      <c r="H501" s="9"/>
      <c r="I501" s="9"/>
      <c r="J501" s="26"/>
      <c r="K501" s="26"/>
      <c r="Q501">
        <f>ROUND((Source!BZ347/100)*ROUND((Source!AF347*Source!AV347)*Source!I347, 2), 2)</f>
        <v>0</v>
      </c>
      <c r="R501">
        <f>Source!X347</f>
        <v>0</v>
      </c>
      <c r="S501">
        <f>ROUND((Source!CA347/100)*ROUND((Source!AF347*Source!AV347)*Source!I347, 2), 2)</f>
        <v>0</v>
      </c>
      <c r="T501">
        <f>Source!Y347</f>
        <v>0</v>
      </c>
      <c r="U501">
        <f>ROUND((175/100)*ROUND((Source!AE347*Source!AV347)*Source!I347, 2), 2)</f>
        <v>1064.8399999999999</v>
      </c>
      <c r="V501">
        <f>ROUND((108/100)*ROUND(Source!CS347*Source!I347, 2), 2)</f>
        <v>657.16</v>
      </c>
    </row>
    <row r="502" spans="1:22" ht="14.25" x14ac:dyDescent="0.2">
      <c r="A502" s="21"/>
      <c r="B502" s="22"/>
      <c r="C502" s="22" t="s">
        <v>453</v>
      </c>
      <c r="D502" s="23"/>
      <c r="E502" s="9"/>
      <c r="F502" s="25">
        <f>Source!AM347</f>
        <v>57.83</v>
      </c>
      <c r="G502" s="24" t="str">
        <f>Source!DE347</f>
        <v/>
      </c>
      <c r="H502" s="9">
        <f>Source!AV347</f>
        <v>1</v>
      </c>
      <c r="I502" s="9">
        <f>IF(Source!BB347&lt;&gt; 0, Source!BB347, 1)</f>
        <v>1</v>
      </c>
      <c r="J502" s="26">
        <f>Source!Q347</f>
        <v>1119.22</v>
      </c>
      <c r="K502" s="26"/>
    </row>
    <row r="503" spans="1:22" ht="14.25" x14ac:dyDescent="0.2">
      <c r="A503" s="21"/>
      <c r="B503" s="22"/>
      <c r="C503" s="22" t="s">
        <v>454</v>
      </c>
      <c r="D503" s="23"/>
      <c r="E503" s="9"/>
      <c r="F503" s="25">
        <f>Source!AN347</f>
        <v>31.44</v>
      </c>
      <c r="G503" s="24" t="str">
        <f>Source!DF347</f>
        <v/>
      </c>
      <c r="H503" s="9">
        <f>Source!AV347</f>
        <v>1</v>
      </c>
      <c r="I503" s="9">
        <f>IF(Source!BS347&lt;&gt; 0, Source!BS347, 1)</f>
        <v>1</v>
      </c>
      <c r="J503" s="28">
        <f>Source!R347</f>
        <v>608.48</v>
      </c>
      <c r="K503" s="26"/>
    </row>
    <row r="504" spans="1:22" ht="15" x14ac:dyDescent="0.25">
      <c r="A504" s="31"/>
      <c r="B504" s="31"/>
      <c r="C504" s="31"/>
      <c r="D504" s="31"/>
      <c r="E504" s="31"/>
      <c r="F504" s="31"/>
      <c r="G504" s="31"/>
      <c r="H504" s="31"/>
      <c r="I504" s="63">
        <f>J502</f>
        <v>1119.22</v>
      </c>
      <c r="J504" s="63"/>
      <c r="K504" s="32">
        <f>IF(Source!I347&lt;&gt;0, ROUND(I504/Source!I347, 2), 0)</f>
        <v>57.83</v>
      </c>
      <c r="P504" s="29">
        <f>I504</f>
        <v>1119.22</v>
      </c>
    </row>
    <row r="505" spans="1:22" ht="57" x14ac:dyDescent="0.2">
      <c r="A505" s="21" t="str">
        <f>Source!E348</f>
        <v>56</v>
      </c>
      <c r="B505" s="22" t="str">
        <f>Source!F348</f>
        <v>1.49-9201-1-3/1</v>
      </c>
      <c r="C505" s="22" t="str">
        <f>Source!G348</f>
        <v>Перевозка строительного мусора автосамосвалами грузоподъемностью до 10 т - добавляется на каждый последующий 1 км до 100 км</v>
      </c>
      <c r="D505" s="23" t="str">
        <f>Source!H348</f>
        <v>т</v>
      </c>
      <c r="E505" s="9">
        <f>Source!I348</f>
        <v>21.504000000000001</v>
      </c>
      <c r="F505" s="25"/>
      <c r="G505" s="24"/>
      <c r="H505" s="9"/>
      <c r="I505" s="9"/>
      <c r="J505" s="26"/>
      <c r="K505" s="26"/>
      <c r="Q505">
        <f>ROUND((Source!BZ348/100)*ROUND((Source!AF348*Source!AV348)*Source!I348, 2), 2)</f>
        <v>0</v>
      </c>
      <c r="R505">
        <f>Source!X348</f>
        <v>0</v>
      </c>
      <c r="S505">
        <f>ROUND((Source!CA348/100)*ROUND((Source!AF348*Source!AV348)*Source!I348, 2), 2)</f>
        <v>0</v>
      </c>
      <c r="T505">
        <f>Source!Y348</f>
        <v>0</v>
      </c>
      <c r="U505">
        <f>ROUND((175/100)*ROUND((Source!AE348*Source!AV348)*Source!I348, 2), 2)</f>
        <v>28577.360000000001</v>
      </c>
      <c r="V505">
        <f>ROUND((108/100)*ROUND(Source!CS348*Source!I348, 2), 2)</f>
        <v>17636.310000000001</v>
      </c>
    </row>
    <row r="506" spans="1:22" x14ac:dyDescent="0.2">
      <c r="C506" s="27" t="str">
        <f>"Объем: "&amp;Source!I348&amp;"="&amp;Source!I344&amp;"+"&amp;""&amp;Source!I345&amp;""</f>
        <v>Объем: 21,504=2,1504+19,3536</v>
      </c>
    </row>
    <row r="507" spans="1:22" ht="14.25" x14ac:dyDescent="0.2">
      <c r="A507" s="21"/>
      <c r="B507" s="22"/>
      <c r="C507" s="22" t="s">
        <v>453</v>
      </c>
      <c r="D507" s="23"/>
      <c r="E507" s="9"/>
      <c r="F507" s="25">
        <f>Source!AM348</f>
        <v>27.39</v>
      </c>
      <c r="G507" s="24" t="str">
        <f>Source!DE348</f>
        <v>*51</v>
      </c>
      <c r="H507" s="9">
        <f>Source!AV348</f>
        <v>1</v>
      </c>
      <c r="I507" s="9">
        <f>IF(Source!BB348&lt;&gt; 0, Source!BB348, 1)</f>
        <v>1</v>
      </c>
      <c r="J507" s="26">
        <f>Source!Q348</f>
        <v>30038.720000000001</v>
      </c>
      <c r="K507" s="26"/>
    </row>
    <row r="508" spans="1:22" ht="14.25" x14ac:dyDescent="0.2">
      <c r="A508" s="21"/>
      <c r="B508" s="22"/>
      <c r="C508" s="22" t="s">
        <v>454</v>
      </c>
      <c r="D508" s="23"/>
      <c r="E508" s="9"/>
      <c r="F508" s="25">
        <f>Source!AN348</f>
        <v>14.89</v>
      </c>
      <c r="G508" s="24" t="str">
        <f>Source!DF348</f>
        <v>*51</v>
      </c>
      <c r="H508" s="9">
        <f>Source!AV348</f>
        <v>1</v>
      </c>
      <c r="I508" s="9">
        <f>IF(Source!BS348&lt;&gt; 0, Source!BS348, 1)</f>
        <v>1</v>
      </c>
      <c r="J508" s="28">
        <f>Source!R348</f>
        <v>16329.92</v>
      </c>
      <c r="K508" s="26"/>
    </row>
    <row r="509" spans="1:22" ht="15" x14ac:dyDescent="0.25">
      <c r="A509" s="31"/>
      <c r="B509" s="31"/>
      <c r="C509" s="31"/>
      <c r="D509" s="31"/>
      <c r="E509" s="31"/>
      <c r="F509" s="31"/>
      <c r="G509" s="31"/>
      <c r="H509" s="31"/>
      <c r="I509" s="63">
        <f>J507</f>
        <v>30038.720000000001</v>
      </c>
      <c r="J509" s="63"/>
      <c r="K509" s="32">
        <f>IF(Source!I348&lt;&gt;0, ROUND(I509/Source!I348, 2), 0)</f>
        <v>1396.89</v>
      </c>
      <c r="P509" s="29">
        <f>I509</f>
        <v>30038.720000000001</v>
      </c>
    </row>
    <row r="510" spans="1:22" ht="102" customHeight="1" x14ac:dyDescent="0.2">
      <c r="A510" s="21" t="str">
        <f>Source!E349</f>
        <v>57</v>
      </c>
      <c r="B510" s="22" t="str">
        <f>Source!F349</f>
        <v>Коммерческое предложение</v>
      </c>
      <c r="C510" s="22" t="str">
        <f>Source!G349</f>
        <v>Стоимость приемки отходов строительства и сноса (боя кирпичной кладки бетонных и железобетонных изделий, отходов бетона и железобетона, асфальтобетона в кусковой форме) для переработки дробильными комплексами (Базисная стоимость: 150,61= [180,73/1,2]</v>
      </c>
      <c r="D510" s="23" t="str">
        <f>Source!H349</f>
        <v>т</v>
      </c>
      <c r="E510" s="9">
        <f>Source!I349</f>
        <v>21.504000000000001</v>
      </c>
      <c r="F510" s="25">
        <f>Source!AL349</f>
        <v>150.61000000000001</v>
      </c>
      <c r="G510" s="24" t="str">
        <f>Source!DD349</f>
        <v/>
      </c>
      <c r="H510" s="9">
        <f>Source!AW349</f>
        <v>1</v>
      </c>
      <c r="I510" s="9">
        <f>IF(Source!BC349&lt;&gt; 0, Source!BC349, 1)</f>
        <v>1</v>
      </c>
      <c r="J510" s="26">
        <f>Source!P349</f>
        <v>3238.72</v>
      </c>
      <c r="K510" s="26"/>
      <c r="Q510">
        <f>ROUND((Source!BZ349/100)*ROUND((Source!AF349*Source!AV349)*Source!I349, 2), 2)</f>
        <v>0</v>
      </c>
      <c r="R510">
        <f>Source!X349</f>
        <v>0</v>
      </c>
      <c r="S510">
        <f>ROUND((Source!CA349/100)*ROUND((Source!AF349*Source!AV349)*Source!I349, 2), 2)</f>
        <v>0</v>
      </c>
      <c r="T510">
        <f>Source!Y349</f>
        <v>0</v>
      </c>
      <c r="U510">
        <f>ROUND((175/100)*ROUND((Source!AE349*Source!AV349)*Source!I349, 2), 2)</f>
        <v>0</v>
      </c>
      <c r="V510">
        <f>ROUND((108/100)*ROUND(Source!CS349*Source!I349, 2), 2)</f>
        <v>0</v>
      </c>
    </row>
    <row r="511" spans="1:22" ht="15" x14ac:dyDescent="0.25">
      <c r="A511" s="31"/>
      <c r="B511" s="31"/>
      <c r="C511" s="31"/>
      <c r="D511" s="31"/>
      <c r="E511" s="31"/>
      <c r="F511" s="31"/>
      <c r="G511" s="31"/>
      <c r="H511" s="31"/>
      <c r="I511" s="63">
        <f>J510</f>
        <v>3238.72</v>
      </c>
      <c r="J511" s="63"/>
      <c r="K511" s="32">
        <f>IF(Source!I349&lt;&gt;0, ROUND(I511/Source!I349, 2), 0)</f>
        <v>150.61000000000001</v>
      </c>
      <c r="P511" s="29">
        <f>I511</f>
        <v>3238.72</v>
      </c>
    </row>
    <row r="512" spans="1:22" ht="30.75" customHeight="1" x14ac:dyDescent="0.2">
      <c r="A512" s="21" t="str">
        <f>Source!E350</f>
        <v>58</v>
      </c>
      <c r="B512" s="22" t="str">
        <f>Source!F350</f>
        <v>2.1-3303-1-1/1</v>
      </c>
      <c r="C512" s="22" t="str">
        <f>Source!G350</f>
        <v>Устройство подстилающих и выравнивающих слоев оснований из песка</v>
      </c>
      <c r="D512" s="23" t="str">
        <f>Source!H350</f>
        <v>100 м3</v>
      </c>
      <c r="E512" s="9">
        <f>Source!I350</f>
        <v>1.7500000000000002E-2</v>
      </c>
      <c r="F512" s="25"/>
      <c r="G512" s="24"/>
      <c r="H512" s="9"/>
      <c r="I512" s="9"/>
      <c r="J512" s="26"/>
      <c r="K512" s="26"/>
      <c r="Q512">
        <f>ROUND((Source!BZ350/100)*ROUND((Source!AF350*Source!AV350)*Source!I350, 2), 2)</f>
        <v>37.97</v>
      </c>
      <c r="R512">
        <f>Source!X350</f>
        <v>37.97</v>
      </c>
      <c r="S512">
        <f>ROUND((Source!CA350/100)*ROUND((Source!AF350*Source!AV350)*Source!I350, 2), 2)</f>
        <v>5.42</v>
      </c>
      <c r="T512">
        <f>Source!Y350</f>
        <v>5.42</v>
      </c>
      <c r="U512">
        <f>ROUND((175/100)*ROUND((Source!AE350*Source!AV350)*Source!I350, 2), 2)</f>
        <v>98.7</v>
      </c>
      <c r="V512">
        <f>ROUND((108/100)*ROUND(Source!CS350*Source!I350, 2), 2)</f>
        <v>60.91</v>
      </c>
    </row>
    <row r="513" spans="1:22" x14ac:dyDescent="0.2">
      <c r="C513" s="27" t="str">
        <f>"Объем: "&amp;Source!I350&amp;"=(140*"&amp;"0,25*"&amp;"0,05)/"&amp;"100"</f>
        <v>Объем: 0,0175=(140*0,25*0,05)/100</v>
      </c>
    </row>
    <row r="514" spans="1:22" ht="14.25" x14ac:dyDescent="0.2">
      <c r="A514" s="21"/>
      <c r="B514" s="22"/>
      <c r="C514" s="22" t="s">
        <v>452</v>
      </c>
      <c r="D514" s="23"/>
      <c r="E514" s="9"/>
      <c r="F514" s="25">
        <f>Source!AO350</f>
        <v>3099.54</v>
      </c>
      <c r="G514" s="24" t="str">
        <f>Source!DG350</f>
        <v/>
      </c>
      <c r="H514" s="9">
        <f>Source!AV350</f>
        <v>1</v>
      </c>
      <c r="I514" s="9">
        <f>IF(Source!BA350&lt;&gt; 0, Source!BA350, 1)</f>
        <v>1</v>
      </c>
      <c r="J514" s="26">
        <f>Source!S350</f>
        <v>54.24</v>
      </c>
      <c r="K514" s="26"/>
    </row>
    <row r="515" spans="1:22" ht="14.25" x14ac:dyDescent="0.2">
      <c r="A515" s="21"/>
      <c r="B515" s="22"/>
      <c r="C515" s="22" t="s">
        <v>453</v>
      </c>
      <c r="D515" s="23"/>
      <c r="E515" s="9"/>
      <c r="F515" s="25">
        <f>Source!AM350</f>
        <v>7602.23</v>
      </c>
      <c r="G515" s="24" t="str">
        <f>Source!DE350</f>
        <v/>
      </c>
      <c r="H515" s="9">
        <f>Source!AV350</f>
        <v>1</v>
      </c>
      <c r="I515" s="9">
        <f>IF(Source!BB350&lt;&gt; 0, Source!BB350, 1)</f>
        <v>1</v>
      </c>
      <c r="J515" s="26">
        <f>Source!Q350</f>
        <v>133.04</v>
      </c>
      <c r="K515" s="26"/>
    </row>
    <row r="516" spans="1:22" ht="14.25" x14ac:dyDescent="0.2">
      <c r="A516" s="21"/>
      <c r="B516" s="22"/>
      <c r="C516" s="22" t="s">
        <v>454</v>
      </c>
      <c r="D516" s="23"/>
      <c r="E516" s="9"/>
      <c r="F516" s="25">
        <f>Source!AN350</f>
        <v>3222.98</v>
      </c>
      <c r="G516" s="24" t="str">
        <f>Source!DF350</f>
        <v/>
      </c>
      <c r="H516" s="9">
        <f>Source!AV350</f>
        <v>1</v>
      </c>
      <c r="I516" s="9">
        <f>IF(Source!BS350&lt;&gt; 0, Source!BS350, 1)</f>
        <v>1</v>
      </c>
      <c r="J516" s="28">
        <f>Source!R350</f>
        <v>56.4</v>
      </c>
      <c r="K516" s="26"/>
    </row>
    <row r="517" spans="1:22" ht="14.25" x14ac:dyDescent="0.2">
      <c r="A517" s="21"/>
      <c r="B517" s="22"/>
      <c r="C517" s="22" t="s">
        <v>461</v>
      </c>
      <c r="D517" s="23"/>
      <c r="E517" s="9"/>
      <c r="F517" s="25">
        <f>Source!AL350</f>
        <v>65162.05</v>
      </c>
      <c r="G517" s="24" t="str">
        <f>Source!DD350</f>
        <v/>
      </c>
      <c r="H517" s="9">
        <f>Source!AW350</f>
        <v>1</v>
      </c>
      <c r="I517" s="9">
        <f>IF(Source!BC350&lt;&gt; 0, Source!BC350, 1)</f>
        <v>1</v>
      </c>
      <c r="J517" s="26">
        <f>Source!P350</f>
        <v>1140.3399999999999</v>
      </c>
      <c r="K517" s="26"/>
    </row>
    <row r="518" spans="1:22" ht="14.25" x14ac:dyDescent="0.2">
      <c r="A518" s="21"/>
      <c r="B518" s="22"/>
      <c r="C518" s="22" t="s">
        <v>455</v>
      </c>
      <c r="D518" s="23" t="s">
        <v>456</v>
      </c>
      <c r="E518" s="9">
        <f>Source!AT350</f>
        <v>70</v>
      </c>
      <c r="F518" s="25"/>
      <c r="G518" s="24"/>
      <c r="H518" s="9"/>
      <c r="I518" s="9"/>
      <c r="J518" s="26">
        <f>SUM(R512:R517)</f>
        <v>37.97</v>
      </c>
      <c r="K518" s="26"/>
    </row>
    <row r="519" spans="1:22" ht="14.25" x14ac:dyDescent="0.2">
      <c r="A519" s="21"/>
      <c r="B519" s="22"/>
      <c r="C519" s="22" t="s">
        <v>457</v>
      </c>
      <c r="D519" s="23" t="s">
        <v>456</v>
      </c>
      <c r="E519" s="9">
        <f>Source!AU350</f>
        <v>10</v>
      </c>
      <c r="F519" s="25"/>
      <c r="G519" s="24"/>
      <c r="H519" s="9"/>
      <c r="I519" s="9"/>
      <c r="J519" s="26">
        <f>SUM(T512:T518)</f>
        <v>5.42</v>
      </c>
      <c r="K519" s="26"/>
    </row>
    <row r="520" spans="1:22" ht="14.25" x14ac:dyDescent="0.2">
      <c r="A520" s="21"/>
      <c r="B520" s="22"/>
      <c r="C520" s="22" t="s">
        <v>458</v>
      </c>
      <c r="D520" s="23" t="s">
        <v>456</v>
      </c>
      <c r="E520" s="9">
        <f>108</f>
        <v>108</v>
      </c>
      <c r="F520" s="25"/>
      <c r="G520" s="24"/>
      <c r="H520" s="9"/>
      <c r="I520" s="9"/>
      <c r="J520" s="26">
        <f>SUM(V512:V519)</f>
        <v>60.91</v>
      </c>
      <c r="K520" s="26"/>
    </row>
    <row r="521" spans="1:22" ht="14.25" x14ac:dyDescent="0.2">
      <c r="A521" s="21"/>
      <c r="B521" s="22"/>
      <c r="C521" s="22" t="s">
        <v>459</v>
      </c>
      <c r="D521" s="23" t="s">
        <v>460</v>
      </c>
      <c r="E521" s="9">
        <f>Source!AQ350</f>
        <v>16.559999999999999</v>
      </c>
      <c r="F521" s="25"/>
      <c r="G521" s="24" t="str">
        <f>Source!DI350</f>
        <v/>
      </c>
      <c r="H521" s="9">
        <f>Source!AV350</f>
        <v>1</v>
      </c>
      <c r="I521" s="9"/>
      <c r="J521" s="26"/>
      <c r="K521" s="26">
        <f>Source!U350</f>
        <v>0.2898</v>
      </c>
    </row>
    <row r="522" spans="1:22" ht="15" x14ac:dyDescent="0.25">
      <c r="A522" s="31"/>
      <c r="B522" s="31"/>
      <c r="C522" s="31"/>
      <c r="D522" s="31"/>
      <c r="E522" s="31"/>
      <c r="F522" s="31"/>
      <c r="G522" s="31"/>
      <c r="H522" s="31"/>
      <c r="I522" s="63">
        <f>J514+J515+J517+J518+J519+J520</f>
        <v>1431.92</v>
      </c>
      <c r="J522" s="63"/>
      <c r="K522" s="32">
        <f>IF(Source!I350&lt;&gt;0, ROUND(I522/Source!I350, 2), 0)</f>
        <v>81824</v>
      </c>
      <c r="P522" s="29">
        <f>I522</f>
        <v>1431.92</v>
      </c>
    </row>
    <row r="523" spans="1:22" ht="42.75" x14ac:dyDescent="0.2">
      <c r="A523" s="21" t="str">
        <f>Source!E351</f>
        <v>59</v>
      </c>
      <c r="B523" s="22" t="str">
        <f>Source!F351</f>
        <v>2.1-3203-1-6/2</v>
      </c>
      <c r="C523" s="22" t="str">
        <f>Source!G351</f>
        <v>Установка бортовых камней бетонных газонных и садовых марка БР60.20.8, при других видах покрытий</v>
      </c>
      <c r="D523" s="23" t="str">
        <f>Source!H351</f>
        <v>100 м</v>
      </c>
      <c r="E523" s="9">
        <f>Source!I351</f>
        <v>1.4</v>
      </c>
      <c r="F523" s="25"/>
      <c r="G523" s="24"/>
      <c r="H523" s="9"/>
      <c r="I523" s="9"/>
      <c r="J523" s="26"/>
      <c r="K523" s="26"/>
      <c r="Q523">
        <f>ROUND((Source!BZ351/100)*ROUND((Source!AF351*Source!AV351)*Source!I351, 2), 2)</f>
        <v>14488.92</v>
      </c>
      <c r="R523">
        <f>Source!X351</f>
        <v>14488.92</v>
      </c>
      <c r="S523">
        <f>ROUND((Source!CA351/100)*ROUND((Source!AF351*Source!AV351)*Source!I351, 2), 2)</f>
        <v>2069.85</v>
      </c>
      <c r="T523">
        <f>Source!Y351</f>
        <v>2069.85</v>
      </c>
      <c r="U523">
        <f>ROUND((175/100)*ROUND((Source!AE351*Source!AV351)*Source!I351, 2), 2)</f>
        <v>254.7</v>
      </c>
      <c r="V523">
        <f>ROUND((108/100)*ROUND(Source!CS351*Source!I351, 2), 2)</f>
        <v>157.18</v>
      </c>
    </row>
    <row r="524" spans="1:22" x14ac:dyDescent="0.2">
      <c r="C524" s="27" t="str">
        <f>"Объем: "&amp;Source!I351&amp;"=140/"&amp;"100"</f>
        <v>Объем: 1,4=140/100</v>
      </c>
    </row>
    <row r="525" spans="1:22" ht="14.25" x14ac:dyDescent="0.2">
      <c r="A525" s="21"/>
      <c r="B525" s="22"/>
      <c r="C525" s="22" t="s">
        <v>452</v>
      </c>
      <c r="D525" s="23"/>
      <c r="E525" s="9"/>
      <c r="F525" s="25">
        <f>Source!AO351</f>
        <v>14784.61</v>
      </c>
      <c r="G525" s="24" t="str">
        <f>Source!DG351</f>
        <v/>
      </c>
      <c r="H525" s="9">
        <f>Source!AV351</f>
        <v>1</v>
      </c>
      <c r="I525" s="9">
        <f>IF(Source!BA351&lt;&gt; 0, Source!BA351, 1)</f>
        <v>1</v>
      </c>
      <c r="J525" s="26">
        <f>Source!S351</f>
        <v>20698.45</v>
      </c>
      <c r="K525" s="26"/>
    </row>
    <row r="526" spans="1:22" ht="14.25" x14ac:dyDescent="0.2">
      <c r="A526" s="21"/>
      <c r="B526" s="22"/>
      <c r="C526" s="22" t="s">
        <v>453</v>
      </c>
      <c r="D526" s="23"/>
      <c r="E526" s="9"/>
      <c r="F526" s="25">
        <f>Source!AM351</f>
        <v>191.49</v>
      </c>
      <c r="G526" s="24" t="str">
        <f>Source!DE351</f>
        <v/>
      </c>
      <c r="H526" s="9">
        <f>Source!AV351</f>
        <v>1</v>
      </c>
      <c r="I526" s="9">
        <f>IF(Source!BB351&lt;&gt; 0, Source!BB351, 1)</f>
        <v>1</v>
      </c>
      <c r="J526" s="26">
        <f>Source!Q351</f>
        <v>268.08999999999997</v>
      </c>
      <c r="K526" s="26"/>
    </row>
    <row r="527" spans="1:22" ht="14.25" x14ac:dyDescent="0.2">
      <c r="A527" s="21"/>
      <c r="B527" s="22"/>
      <c r="C527" s="22" t="s">
        <v>454</v>
      </c>
      <c r="D527" s="23"/>
      <c r="E527" s="9"/>
      <c r="F527" s="25">
        <f>Source!AN351</f>
        <v>103.96</v>
      </c>
      <c r="G527" s="24" t="str">
        <f>Source!DF351</f>
        <v/>
      </c>
      <c r="H527" s="9">
        <f>Source!AV351</f>
        <v>1</v>
      </c>
      <c r="I527" s="9">
        <f>IF(Source!BS351&lt;&gt; 0, Source!BS351, 1)</f>
        <v>1</v>
      </c>
      <c r="J527" s="28">
        <f>Source!R351</f>
        <v>145.54</v>
      </c>
      <c r="K527" s="26"/>
    </row>
    <row r="528" spans="1:22" ht="14.25" x14ac:dyDescent="0.2">
      <c r="A528" s="21"/>
      <c r="B528" s="22"/>
      <c r="C528" s="22" t="s">
        <v>461</v>
      </c>
      <c r="D528" s="23"/>
      <c r="E528" s="9"/>
      <c r="F528" s="25">
        <f>Source!AL351</f>
        <v>32322.400000000001</v>
      </c>
      <c r="G528" s="24" t="str">
        <f>Source!DD351</f>
        <v/>
      </c>
      <c r="H528" s="9">
        <f>Source!AW351</f>
        <v>1</v>
      </c>
      <c r="I528" s="9">
        <f>IF(Source!BC351&lt;&gt; 0, Source!BC351, 1)</f>
        <v>1</v>
      </c>
      <c r="J528" s="26">
        <f>Source!P351</f>
        <v>45251.360000000001</v>
      </c>
      <c r="K528" s="26"/>
    </row>
    <row r="529" spans="1:32" ht="14.25" x14ac:dyDescent="0.2">
      <c r="A529" s="21"/>
      <c r="B529" s="22"/>
      <c r="C529" s="22" t="s">
        <v>455</v>
      </c>
      <c r="D529" s="23" t="s">
        <v>456</v>
      </c>
      <c r="E529" s="9">
        <f>Source!AT351</f>
        <v>70</v>
      </c>
      <c r="F529" s="25"/>
      <c r="G529" s="24"/>
      <c r="H529" s="9"/>
      <c r="I529" s="9"/>
      <c r="J529" s="26">
        <f>SUM(R523:R528)</f>
        <v>14488.92</v>
      </c>
      <c r="K529" s="26"/>
    </row>
    <row r="530" spans="1:32" ht="14.25" x14ac:dyDescent="0.2">
      <c r="A530" s="21"/>
      <c r="B530" s="22"/>
      <c r="C530" s="22" t="s">
        <v>457</v>
      </c>
      <c r="D530" s="23" t="s">
        <v>456</v>
      </c>
      <c r="E530" s="9">
        <f>Source!AU351</f>
        <v>10</v>
      </c>
      <c r="F530" s="25"/>
      <c r="G530" s="24"/>
      <c r="H530" s="9"/>
      <c r="I530" s="9"/>
      <c r="J530" s="26">
        <f>SUM(T523:T529)</f>
        <v>2069.85</v>
      </c>
      <c r="K530" s="26"/>
    </row>
    <row r="531" spans="1:32" ht="14.25" x14ac:dyDescent="0.2">
      <c r="A531" s="21"/>
      <c r="B531" s="22"/>
      <c r="C531" s="22" t="s">
        <v>458</v>
      </c>
      <c r="D531" s="23" t="s">
        <v>456</v>
      </c>
      <c r="E531" s="9">
        <f>108</f>
        <v>108</v>
      </c>
      <c r="F531" s="25"/>
      <c r="G531" s="24"/>
      <c r="H531" s="9"/>
      <c r="I531" s="9"/>
      <c r="J531" s="26">
        <f>SUM(V523:V530)</f>
        <v>157.18</v>
      </c>
      <c r="K531" s="26"/>
    </row>
    <row r="532" spans="1:32" ht="14.25" x14ac:dyDescent="0.2">
      <c r="A532" s="21"/>
      <c r="B532" s="22"/>
      <c r="C532" s="22" t="s">
        <v>459</v>
      </c>
      <c r="D532" s="23" t="s">
        <v>460</v>
      </c>
      <c r="E532" s="9">
        <f>Source!AQ351</f>
        <v>72.959999999999994</v>
      </c>
      <c r="F532" s="25"/>
      <c r="G532" s="24" t="str">
        <f>Source!DI351</f>
        <v/>
      </c>
      <c r="H532" s="9">
        <f>Source!AV351</f>
        <v>1</v>
      </c>
      <c r="I532" s="9"/>
      <c r="J532" s="26"/>
      <c r="K532" s="26">
        <f>Source!U351</f>
        <v>102.14399999999999</v>
      </c>
    </row>
    <row r="533" spans="1:32" ht="15" x14ac:dyDescent="0.25">
      <c r="A533" s="31"/>
      <c r="B533" s="31"/>
      <c r="C533" s="31"/>
      <c r="D533" s="31"/>
      <c r="E533" s="31"/>
      <c r="F533" s="31"/>
      <c r="G533" s="31"/>
      <c r="H533" s="31"/>
      <c r="I533" s="63">
        <f>J525+J526+J528+J529+J530+J531</f>
        <v>82933.849999999991</v>
      </c>
      <c r="J533" s="63"/>
      <c r="K533" s="32">
        <f>IF(Source!I351&lt;&gt;0, ROUND(I533/Source!I351, 2), 0)</f>
        <v>59238.46</v>
      </c>
      <c r="P533" s="29">
        <f>I533</f>
        <v>82933.849999999991</v>
      </c>
    </row>
    <row r="535" spans="1:32" ht="30" x14ac:dyDescent="0.25">
      <c r="A535" s="59" t="str">
        <f>CONCATENATE("Итого по разделу: ",IF(Source!G353&lt;&gt;"Новый раздел", Source!G353, ""))</f>
        <v xml:space="preserve">Итого по разделу: 28. Замена/ устройство бортового камня  садового (для дорожно-тропиночной сети) </v>
      </c>
      <c r="B535" s="59"/>
      <c r="C535" s="59"/>
      <c r="D535" s="59"/>
      <c r="E535" s="59"/>
      <c r="F535" s="59"/>
      <c r="G535" s="59"/>
      <c r="H535" s="59"/>
      <c r="I535" s="60">
        <f>SUM(P476:P534)</f>
        <v>160770.18</v>
      </c>
      <c r="J535" s="61"/>
      <c r="K535" s="34"/>
      <c r="AF535" s="35" t="str">
        <f>CONCATENATE("Итого по разделу: ",IF(Source!G353&lt;&gt;"Новый раздел", Source!G353, ""))</f>
        <v xml:space="preserve">Итого по разделу: 28. Замена/ устройство бортового камня  садового (для дорожно-тропиночной сети) </v>
      </c>
    </row>
    <row r="537" spans="1:32" ht="16.5" x14ac:dyDescent="0.25">
      <c r="A537" s="62" t="str">
        <f>CONCATENATE("Раздел: ",IF(Source!G382&lt;&gt;"Новый раздел", Source!G382, ""))</f>
        <v>Раздел: Раздел. 48 Устройство покрытия из искусственной травы - 1000 м2 (Спорт. общестрой)</v>
      </c>
      <c r="B537" s="62"/>
      <c r="C537" s="62"/>
      <c r="D537" s="62"/>
      <c r="E537" s="62"/>
      <c r="F537" s="62"/>
      <c r="G537" s="62"/>
      <c r="H537" s="62"/>
      <c r="I537" s="62"/>
      <c r="J537" s="62"/>
      <c r="K537" s="62"/>
    </row>
    <row r="538" spans="1:32" ht="18" customHeight="1" x14ac:dyDescent="0.2">
      <c r="A538" s="21" t="str">
        <f>Source!E386</f>
        <v>60</v>
      </c>
      <c r="B538" s="22" t="str">
        <f>Source!F386</f>
        <v>5.3-3103-10-1/1</v>
      </c>
      <c r="C538" s="22" t="str">
        <f>Source!G386</f>
        <v>Устройство покрытия "искусственная трава"</v>
      </c>
      <c r="D538" s="23" t="str">
        <f>Source!H386</f>
        <v>100 м2</v>
      </c>
      <c r="E538" s="9">
        <f>Source!I386</f>
        <v>10</v>
      </c>
      <c r="F538" s="25"/>
      <c r="G538" s="24"/>
      <c r="H538" s="9"/>
      <c r="I538" s="9"/>
      <c r="J538" s="26"/>
      <c r="K538" s="26"/>
      <c r="Q538">
        <f>ROUND((Source!BZ386/100)*ROUND((Source!AF386*Source!AV386)*Source!I386, 2), 2)</f>
        <v>14111.93</v>
      </c>
      <c r="R538">
        <f>Source!X386</f>
        <v>14111.93</v>
      </c>
      <c r="S538">
        <f>ROUND((Source!CA386/100)*ROUND((Source!AF386*Source!AV386)*Source!I386, 2), 2)</f>
        <v>2015.99</v>
      </c>
      <c r="T538">
        <f>Source!Y386</f>
        <v>2015.99</v>
      </c>
      <c r="U538">
        <f>ROUND((175/100)*ROUND((Source!AE386*Source!AV386)*Source!I386, 2), 2)</f>
        <v>89.6</v>
      </c>
      <c r="V538">
        <f>ROUND((108/100)*ROUND(Source!CS386*Source!I386, 2), 2)</f>
        <v>55.3</v>
      </c>
    </row>
    <row r="539" spans="1:32" x14ac:dyDescent="0.2">
      <c r="C539" s="27" t="str">
        <f>"Объем: "&amp;Source!I386&amp;"=1000/"&amp;"100"</f>
        <v>Объем: 10=1000/100</v>
      </c>
    </row>
    <row r="540" spans="1:32" ht="14.25" x14ac:dyDescent="0.2">
      <c r="A540" s="21"/>
      <c r="B540" s="22"/>
      <c r="C540" s="22" t="s">
        <v>452</v>
      </c>
      <c r="D540" s="23"/>
      <c r="E540" s="9"/>
      <c r="F540" s="25">
        <f>Source!AO386</f>
        <v>2015.99</v>
      </c>
      <c r="G540" s="24" t="str">
        <f>Source!DG386</f>
        <v/>
      </c>
      <c r="H540" s="9">
        <f>Source!AV386</f>
        <v>1</v>
      </c>
      <c r="I540" s="9">
        <f>IF(Source!BA386&lt;&gt; 0, Source!BA386, 1)</f>
        <v>1</v>
      </c>
      <c r="J540" s="26">
        <f>Source!S386</f>
        <v>20159.900000000001</v>
      </c>
      <c r="K540" s="26"/>
    </row>
    <row r="541" spans="1:32" ht="14.25" x14ac:dyDescent="0.2">
      <c r="A541" s="21"/>
      <c r="B541" s="22"/>
      <c r="C541" s="22" t="s">
        <v>453</v>
      </c>
      <c r="D541" s="23"/>
      <c r="E541" s="9"/>
      <c r="F541" s="25">
        <f>Source!AM386</f>
        <v>7.04</v>
      </c>
      <c r="G541" s="24" t="str">
        <f>Source!DE386</f>
        <v/>
      </c>
      <c r="H541" s="9">
        <f>Source!AV386</f>
        <v>1</v>
      </c>
      <c r="I541" s="9">
        <f>IF(Source!BB386&lt;&gt; 0, Source!BB386, 1)</f>
        <v>1</v>
      </c>
      <c r="J541" s="26">
        <f>Source!Q386</f>
        <v>70.400000000000006</v>
      </c>
      <c r="K541" s="26"/>
    </row>
    <row r="542" spans="1:32" ht="14.25" x14ac:dyDescent="0.2">
      <c r="A542" s="21"/>
      <c r="B542" s="22"/>
      <c r="C542" s="22" t="s">
        <v>454</v>
      </c>
      <c r="D542" s="23"/>
      <c r="E542" s="9"/>
      <c r="F542" s="25">
        <f>Source!AN386</f>
        <v>5.12</v>
      </c>
      <c r="G542" s="24" t="str">
        <f>Source!DF386</f>
        <v/>
      </c>
      <c r="H542" s="9">
        <f>Source!AV386</f>
        <v>1</v>
      </c>
      <c r="I542" s="9">
        <f>IF(Source!BS386&lt;&gt; 0, Source!BS386, 1)</f>
        <v>1</v>
      </c>
      <c r="J542" s="28">
        <f>Source!R386</f>
        <v>51.2</v>
      </c>
      <c r="K542" s="26"/>
    </row>
    <row r="543" spans="1:32" ht="14.25" x14ac:dyDescent="0.2">
      <c r="A543" s="21"/>
      <c r="B543" s="22"/>
      <c r="C543" s="22" t="s">
        <v>461</v>
      </c>
      <c r="D543" s="23"/>
      <c r="E543" s="9"/>
      <c r="F543" s="25">
        <f>Source!AL386</f>
        <v>64914.62</v>
      </c>
      <c r="G543" s="24" t="str">
        <f>Source!DD386</f>
        <v/>
      </c>
      <c r="H543" s="9">
        <f>Source!AW386</f>
        <v>1</v>
      </c>
      <c r="I543" s="9">
        <f>IF(Source!BC386&lt;&gt; 0, Source!BC386, 1)</f>
        <v>1</v>
      </c>
      <c r="J543" s="26">
        <f>Source!P386</f>
        <v>649146.19999999995</v>
      </c>
      <c r="K543" s="26"/>
    </row>
    <row r="544" spans="1:32" ht="14.25" x14ac:dyDescent="0.2">
      <c r="A544" s="21"/>
      <c r="B544" s="22"/>
      <c r="C544" s="22" t="s">
        <v>455</v>
      </c>
      <c r="D544" s="23" t="s">
        <v>456</v>
      </c>
      <c r="E544" s="9">
        <f>Source!AT386</f>
        <v>70</v>
      </c>
      <c r="F544" s="25"/>
      <c r="G544" s="24"/>
      <c r="H544" s="9"/>
      <c r="I544" s="9"/>
      <c r="J544" s="26">
        <f>SUM(R538:R543)</f>
        <v>14111.93</v>
      </c>
      <c r="K544" s="26"/>
    </row>
    <row r="545" spans="1:32" ht="14.25" x14ac:dyDescent="0.2">
      <c r="A545" s="21"/>
      <c r="B545" s="22"/>
      <c r="C545" s="22" t="s">
        <v>457</v>
      </c>
      <c r="D545" s="23" t="s">
        <v>456</v>
      </c>
      <c r="E545" s="9">
        <f>Source!AU386</f>
        <v>10</v>
      </c>
      <c r="F545" s="25"/>
      <c r="G545" s="24"/>
      <c r="H545" s="9"/>
      <c r="I545" s="9"/>
      <c r="J545" s="26">
        <f>SUM(T538:T544)</f>
        <v>2015.99</v>
      </c>
      <c r="K545" s="26"/>
    </row>
    <row r="546" spans="1:32" ht="14.25" x14ac:dyDescent="0.2">
      <c r="A546" s="21"/>
      <c r="B546" s="22"/>
      <c r="C546" s="22" t="s">
        <v>458</v>
      </c>
      <c r="D546" s="23" t="s">
        <v>456</v>
      </c>
      <c r="E546" s="9">
        <f>108</f>
        <v>108</v>
      </c>
      <c r="F546" s="25"/>
      <c r="G546" s="24"/>
      <c r="H546" s="9"/>
      <c r="I546" s="9"/>
      <c r="J546" s="26">
        <f>SUM(V538:V545)</f>
        <v>55.3</v>
      </c>
      <c r="K546" s="26"/>
    </row>
    <row r="547" spans="1:32" ht="14.25" x14ac:dyDescent="0.2">
      <c r="A547" s="21"/>
      <c r="B547" s="22"/>
      <c r="C547" s="22" t="s">
        <v>459</v>
      </c>
      <c r="D547" s="23" t="s">
        <v>460</v>
      </c>
      <c r="E547" s="9">
        <f>Source!AQ386</f>
        <v>9.35</v>
      </c>
      <c r="F547" s="25"/>
      <c r="G547" s="24" t="str">
        <f>Source!DI386</f>
        <v/>
      </c>
      <c r="H547" s="9">
        <f>Source!AV386</f>
        <v>1</v>
      </c>
      <c r="I547" s="9"/>
      <c r="J547" s="26"/>
      <c r="K547" s="26">
        <f>Source!U386</f>
        <v>93.5</v>
      </c>
    </row>
    <row r="548" spans="1:32" ht="15" x14ac:dyDescent="0.25">
      <c r="A548" s="31"/>
      <c r="B548" s="31"/>
      <c r="C548" s="31"/>
      <c r="D548" s="31"/>
      <c r="E548" s="31"/>
      <c r="F548" s="31"/>
      <c r="G548" s="31"/>
      <c r="H548" s="31"/>
      <c r="I548" s="63">
        <f>J540+J541+J543+J544+J545+J546</f>
        <v>685559.72000000009</v>
      </c>
      <c r="J548" s="63"/>
      <c r="K548" s="32">
        <f>IF(Source!I386&lt;&gt;0, ROUND(I548/Source!I386, 2), 0)</f>
        <v>68555.97</v>
      </c>
      <c r="P548" s="29">
        <f>I548</f>
        <v>685559.72000000009</v>
      </c>
    </row>
    <row r="550" spans="1:32" ht="14.25" customHeight="1" x14ac:dyDescent="0.25">
      <c r="A550" s="59" t="str">
        <f>CONCATENATE("Итого по разделу: ",IF(Source!G388&lt;&gt;"Новый раздел", Source!G388, ""))</f>
        <v>Итого по разделу: Раздел. 48 Устройство покрытия из искусственной травы - 1000 м2 (Спорт. общестрой)</v>
      </c>
      <c r="B550" s="59"/>
      <c r="C550" s="59"/>
      <c r="D550" s="59"/>
      <c r="E550" s="59"/>
      <c r="F550" s="59"/>
      <c r="G550" s="59"/>
      <c r="H550" s="59"/>
      <c r="I550" s="60">
        <f>SUM(P537:P549)</f>
        <v>685559.72000000009</v>
      </c>
      <c r="J550" s="61"/>
      <c r="K550" s="34"/>
      <c r="AF550" s="35" t="str">
        <f>CONCATENATE("Итого по разделу: ",IF(Source!G388&lt;&gt;"Новый раздел", Source!G388, ""))</f>
        <v>Итого по разделу: Раздел. 48 Устройство покрытия из искусственной травы - 1000 м2 (Спорт. общестрой)</v>
      </c>
    </row>
    <row r="551" spans="1:32" ht="7.5" hidden="1" customHeight="1" x14ac:dyDescent="0.2"/>
    <row r="552" spans="1:32" ht="14.25" x14ac:dyDescent="0.2">
      <c r="C552" s="57" t="str">
        <f>Source!H416</f>
        <v>Итого</v>
      </c>
      <c r="D552" s="57"/>
      <c r="E552" s="57"/>
      <c r="F552" s="57"/>
      <c r="G552" s="57"/>
      <c r="H552" s="57"/>
      <c r="I552" s="58">
        <f>IF(Source!F416=0, "", Source!F416)</f>
        <v>685559.72</v>
      </c>
      <c r="J552" s="58"/>
    </row>
    <row r="553" spans="1:32" ht="14.25" x14ac:dyDescent="0.2">
      <c r="C553" s="57" t="str">
        <f>Source!H417</f>
        <v>НДС 20%</v>
      </c>
      <c r="D553" s="57"/>
      <c r="E553" s="57"/>
      <c r="F553" s="57"/>
      <c r="G553" s="57"/>
      <c r="H553" s="57"/>
      <c r="I553" s="58">
        <f>IF(Source!F417=0, "", Source!F417)</f>
        <v>137111.94</v>
      </c>
      <c r="J553" s="58"/>
    </row>
    <row r="554" spans="1:32" ht="14.25" x14ac:dyDescent="0.2">
      <c r="C554" s="57" t="str">
        <f>Source!H418</f>
        <v>Всего</v>
      </c>
      <c r="D554" s="57"/>
      <c r="E554" s="57"/>
      <c r="F554" s="57"/>
      <c r="G554" s="57"/>
      <c r="H554" s="57"/>
      <c r="I554" s="58">
        <f>IF(Source!F418=0, "", Source!F418)</f>
        <v>822671.66</v>
      </c>
      <c r="J554" s="58"/>
    </row>
    <row r="556" spans="1:32" ht="16.5" x14ac:dyDescent="0.25">
      <c r="A556" s="62" t="str">
        <f>CONCATENATE("Раздел: ",IF(Source!G420&lt;&gt;"Новый раздел", Source!G420, ""))</f>
        <v>Раздел: Раздел 61. Демонтажные работы (Спорт. общестрой)</v>
      </c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32" ht="28.5" x14ac:dyDescent="0.2">
      <c r="A557" s="21" t="str">
        <f>Source!E424</f>
        <v>61</v>
      </c>
      <c r="B557" s="22" t="str">
        <f>Source!F424</f>
        <v>1.9-3104-2-1/1</v>
      </c>
      <c r="C557" s="22" t="str">
        <f>Source!G424</f>
        <v>Разборка лестничных маршей на одном косоуре</v>
      </c>
      <c r="D557" s="23" t="str">
        <f>Source!H424</f>
        <v>100 м2</v>
      </c>
      <c r="E557" s="9">
        <f>Source!I424</f>
        <v>0.62</v>
      </c>
      <c r="F557" s="25"/>
      <c r="G557" s="24"/>
      <c r="H557" s="9"/>
      <c r="I557" s="9"/>
      <c r="J557" s="26"/>
      <c r="K557" s="26"/>
      <c r="Q557">
        <f>ROUND((Source!BZ424/100)*ROUND((Source!AF424*Source!AV424)*Source!I424, 2), 2)</f>
        <v>41633.26</v>
      </c>
      <c r="R557">
        <f>Source!X424</f>
        <v>41633.26</v>
      </c>
      <c r="S557">
        <f>ROUND((Source!CA424/100)*ROUND((Source!AF424*Source!AV424)*Source!I424, 2), 2)</f>
        <v>5947.61</v>
      </c>
      <c r="T557">
        <f>Source!Y424</f>
        <v>5947.61</v>
      </c>
      <c r="U557">
        <f>ROUND((175/100)*ROUND((Source!AE424*Source!AV424)*Source!I424, 2), 2)</f>
        <v>25.17</v>
      </c>
      <c r="V557">
        <f>ROUND((108/100)*ROUND(Source!CS424*Source!I424, 2), 2)</f>
        <v>15.53</v>
      </c>
    </row>
    <row r="558" spans="1:32" x14ac:dyDescent="0.2">
      <c r="C558" s="27" t="str">
        <f>"Объем: "&amp;Source!I424&amp;"=62/"&amp;"100"</f>
        <v>Объем: 0,62=62/100</v>
      </c>
    </row>
    <row r="559" spans="1:32" ht="14.25" x14ac:dyDescent="0.2">
      <c r="A559" s="21"/>
      <c r="B559" s="22"/>
      <c r="C559" s="22" t="s">
        <v>452</v>
      </c>
      <c r="D559" s="23"/>
      <c r="E559" s="9"/>
      <c r="F559" s="25">
        <f>Source!AO424</f>
        <v>95929.17</v>
      </c>
      <c r="G559" s="24" t="str">
        <f>Source!DG424</f>
        <v/>
      </c>
      <c r="H559" s="9">
        <f>Source!AV424</f>
        <v>1</v>
      </c>
      <c r="I559" s="9">
        <f>IF(Source!BA424&lt;&gt; 0, Source!BA424, 1)</f>
        <v>1</v>
      </c>
      <c r="J559" s="26">
        <f>Source!S424</f>
        <v>59476.09</v>
      </c>
      <c r="K559" s="26"/>
    </row>
    <row r="560" spans="1:32" ht="14.25" x14ac:dyDescent="0.2">
      <c r="A560" s="21"/>
      <c r="B560" s="22"/>
      <c r="C560" s="22" t="s">
        <v>453</v>
      </c>
      <c r="D560" s="23"/>
      <c r="E560" s="9"/>
      <c r="F560" s="25">
        <f>Source!AM424</f>
        <v>1234.1600000000001</v>
      </c>
      <c r="G560" s="24" t="str">
        <f>Source!DE424</f>
        <v/>
      </c>
      <c r="H560" s="9">
        <f>Source!AV424</f>
        <v>1</v>
      </c>
      <c r="I560" s="9">
        <f>IF(Source!BB424&lt;&gt; 0, Source!BB424, 1)</f>
        <v>1</v>
      </c>
      <c r="J560" s="26">
        <f>Source!Q424</f>
        <v>765.18</v>
      </c>
      <c r="K560" s="26"/>
    </row>
    <row r="561" spans="1:32" ht="14.25" x14ac:dyDescent="0.2">
      <c r="A561" s="21"/>
      <c r="B561" s="22"/>
      <c r="C561" s="22" t="s">
        <v>454</v>
      </c>
      <c r="D561" s="23"/>
      <c r="E561" s="9"/>
      <c r="F561" s="25">
        <f>Source!AN424</f>
        <v>23.2</v>
      </c>
      <c r="G561" s="24" t="str">
        <f>Source!DF424</f>
        <v/>
      </c>
      <c r="H561" s="9">
        <f>Source!AV424</f>
        <v>1</v>
      </c>
      <c r="I561" s="9">
        <f>IF(Source!BS424&lt;&gt; 0, Source!BS424, 1)</f>
        <v>1</v>
      </c>
      <c r="J561" s="28">
        <f>Source!R424</f>
        <v>14.38</v>
      </c>
      <c r="K561" s="26"/>
    </row>
    <row r="562" spans="1:32" ht="14.25" x14ac:dyDescent="0.2">
      <c r="A562" s="21"/>
      <c r="B562" s="22"/>
      <c r="C562" s="22" t="s">
        <v>455</v>
      </c>
      <c r="D562" s="23" t="s">
        <v>456</v>
      </c>
      <c r="E562" s="9">
        <f>Source!AT424</f>
        <v>70</v>
      </c>
      <c r="F562" s="25"/>
      <c r="G562" s="24"/>
      <c r="H562" s="9"/>
      <c r="I562" s="9"/>
      <c r="J562" s="26">
        <f>SUM(R557:R561)</f>
        <v>41633.26</v>
      </c>
      <c r="K562" s="26"/>
    </row>
    <row r="563" spans="1:32" ht="14.25" x14ac:dyDescent="0.2">
      <c r="A563" s="21"/>
      <c r="B563" s="22"/>
      <c r="C563" s="22" t="s">
        <v>457</v>
      </c>
      <c r="D563" s="23" t="s">
        <v>456</v>
      </c>
      <c r="E563" s="9">
        <f>Source!AU424</f>
        <v>10</v>
      </c>
      <c r="F563" s="25"/>
      <c r="G563" s="24"/>
      <c r="H563" s="9"/>
      <c r="I563" s="9"/>
      <c r="J563" s="26">
        <f>SUM(T557:T562)</f>
        <v>5947.61</v>
      </c>
      <c r="K563" s="26"/>
    </row>
    <row r="564" spans="1:32" ht="14.25" x14ac:dyDescent="0.2">
      <c r="A564" s="21"/>
      <c r="B564" s="22"/>
      <c r="C564" s="22" t="s">
        <v>458</v>
      </c>
      <c r="D564" s="23" t="s">
        <v>456</v>
      </c>
      <c r="E564" s="9">
        <f>108</f>
        <v>108</v>
      </c>
      <c r="F564" s="25"/>
      <c r="G564" s="24"/>
      <c r="H564" s="9"/>
      <c r="I564" s="9"/>
      <c r="J564" s="26">
        <f>SUM(V557:V563)</f>
        <v>15.53</v>
      </c>
      <c r="K564" s="26"/>
    </row>
    <row r="565" spans="1:32" ht="14.25" x14ac:dyDescent="0.2">
      <c r="A565" s="21"/>
      <c r="B565" s="22"/>
      <c r="C565" s="22" t="s">
        <v>459</v>
      </c>
      <c r="D565" s="23" t="s">
        <v>460</v>
      </c>
      <c r="E565" s="9">
        <f>Source!AQ424</f>
        <v>518.48</v>
      </c>
      <c r="F565" s="25"/>
      <c r="G565" s="24" t="str">
        <f>Source!DI424</f>
        <v/>
      </c>
      <c r="H565" s="9">
        <f>Source!AV424</f>
        <v>1</v>
      </c>
      <c r="I565" s="9"/>
      <c r="J565" s="26"/>
      <c r="K565" s="26">
        <f>Source!U424</f>
        <v>321.45760000000001</v>
      </c>
    </row>
    <row r="566" spans="1:32" ht="15" x14ac:dyDescent="0.25">
      <c r="A566" s="31"/>
      <c r="B566" s="31"/>
      <c r="C566" s="31"/>
      <c r="D566" s="31"/>
      <c r="E566" s="31"/>
      <c r="F566" s="31"/>
      <c r="G566" s="31"/>
      <c r="H566" s="31"/>
      <c r="I566" s="63">
        <f>J559+J560+J562+J563+J564</f>
        <v>107837.67</v>
      </c>
      <c r="J566" s="63"/>
      <c r="K566" s="32">
        <f>IF(Source!I424&lt;&gt;0, ROUND(I566/Source!I424, 2), 0)</f>
        <v>173931.73</v>
      </c>
      <c r="P566" s="29">
        <f>I566</f>
        <v>107837.67</v>
      </c>
    </row>
    <row r="568" spans="1:32" ht="15" x14ac:dyDescent="0.25">
      <c r="A568" s="59" t="str">
        <f>CONCATENATE("Итого по разделу: ",IF(Source!G426&lt;&gt;"Новый раздел", Source!G426, ""))</f>
        <v>Итого по разделу: Раздел 61. Демонтажные работы (Спорт. общестрой)</v>
      </c>
      <c r="B568" s="59"/>
      <c r="C568" s="59"/>
      <c r="D568" s="59"/>
      <c r="E568" s="59"/>
      <c r="F568" s="59"/>
      <c r="G568" s="59"/>
      <c r="H568" s="59"/>
      <c r="I568" s="60">
        <f>SUM(P556:P567)</f>
        <v>107837.67</v>
      </c>
      <c r="J568" s="61"/>
      <c r="K568" s="34"/>
    </row>
    <row r="569" spans="1:32" ht="3.75" customHeight="1" x14ac:dyDescent="0.2"/>
    <row r="570" spans="1:32" ht="14.25" x14ac:dyDescent="0.2">
      <c r="C570" s="57" t="str">
        <f>Source!H454</f>
        <v>Итого</v>
      </c>
      <c r="D570" s="57"/>
      <c r="E570" s="57"/>
      <c r="F570" s="57"/>
      <c r="G570" s="57"/>
      <c r="H570" s="57"/>
      <c r="I570" s="58">
        <f>IF(Source!F454=0, "", Source!F454)</f>
        <v>107837.67</v>
      </c>
      <c r="J570" s="58"/>
    </row>
    <row r="571" spans="1:32" ht="14.25" x14ac:dyDescent="0.2">
      <c r="C571" s="57" t="str">
        <f>Source!H455</f>
        <v>НДС 20%</v>
      </c>
      <c r="D571" s="57"/>
      <c r="E571" s="57"/>
      <c r="F571" s="57"/>
      <c r="G571" s="57"/>
      <c r="H571" s="57"/>
      <c r="I571" s="58">
        <f>IF(Source!F455=0, "", Source!F455)</f>
        <v>21567.53</v>
      </c>
      <c r="J571" s="58"/>
    </row>
    <row r="572" spans="1:32" ht="14.25" x14ac:dyDescent="0.2">
      <c r="C572" s="57" t="str">
        <f>Source!H456</f>
        <v>Всего</v>
      </c>
      <c r="D572" s="57"/>
      <c r="E572" s="57"/>
      <c r="F572" s="57"/>
      <c r="G572" s="57"/>
      <c r="H572" s="57"/>
      <c r="I572" s="58">
        <f>IF(Source!F456=0, "", Source!F456)</f>
        <v>129405.2</v>
      </c>
      <c r="J572" s="58"/>
    </row>
    <row r="574" spans="1:32" ht="16.5" customHeight="1" x14ac:dyDescent="0.25">
      <c r="A574" s="59" t="str">
        <f>CONCATENATE("Итого по смете: ",IF(Source!G487&lt;&gt;"Новый объект", Source!G487, ""))</f>
        <v>Итого по смете: Благоустройство дворовых территорий Таганского района ЦАО г. Москвы в 2021 году (1-й этап)</v>
      </c>
      <c r="B574" s="59"/>
      <c r="C574" s="59"/>
      <c r="D574" s="59"/>
      <c r="E574" s="59"/>
      <c r="F574" s="59"/>
      <c r="G574" s="59"/>
      <c r="H574" s="59"/>
      <c r="I574" s="60">
        <f>SUM(P1:P573)</f>
        <v>8965434.5099999998</v>
      </c>
      <c r="J574" s="61"/>
      <c r="K574" s="34"/>
      <c r="AF574" s="35" t="str">
        <f>CONCATENATE("Итого по смете: ",IF(Source!G487&lt;&gt;"Новый объект", Source!G487, ""))</f>
        <v>Итого по смете: Благоустройство дворовых территорий Таганского района ЦАО г. Москвы в 2021 году (1-й этап)</v>
      </c>
    </row>
    <row r="575" spans="1:32" ht="14.25" x14ac:dyDescent="0.2">
      <c r="C575" s="57" t="str">
        <f>Source!H515</f>
        <v>Итого</v>
      </c>
      <c r="D575" s="57"/>
      <c r="E575" s="57"/>
      <c r="F575" s="57"/>
      <c r="G575" s="57"/>
      <c r="H575" s="57"/>
      <c r="I575" s="58">
        <f>IF(Source!F515=0, "", Source!F515)</f>
        <v>8965434.5099999998</v>
      </c>
      <c r="J575" s="58"/>
    </row>
    <row r="576" spans="1:32" ht="14.25" x14ac:dyDescent="0.2">
      <c r="C576" s="57" t="str">
        <f>Source!H516</f>
        <v>НДС 20%</v>
      </c>
      <c r="D576" s="57"/>
      <c r="E576" s="57"/>
      <c r="F576" s="57"/>
      <c r="G576" s="57"/>
      <c r="H576" s="57"/>
      <c r="I576" s="58">
        <f>IF(Source!F516=0, "", Source!F516)</f>
        <v>1793086.9</v>
      </c>
      <c r="J576" s="58"/>
    </row>
    <row r="577" spans="1:11" ht="15" x14ac:dyDescent="0.25">
      <c r="C577" s="59" t="str">
        <f>Source!H517</f>
        <v>Всего</v>
      </c>
      <c r="D577" s="59"/>
      <c r="E577" s="59"/>
      <c r="F577" s="59"/>
      <c r="G577" s="59"/>
      <c r="H577" s="59"/>
      <c r="I577" s="60">
        <f>IF(Source!F517=0, "", Source!F517)</f>
        <v>10758521.41</v>
      </c>
      <c r="J577" s="60"/>
    </row>
    <row r="580" spans="1:11" ht="14.25" x14ac:dyDescent="0.2">
      <c r="A580" s="55" t="s">
        <v>462</v>
      </c>
      <c r="B580" s="55"/>
      <c r="C580" s="36" t="str">
        <f>IF(Source!AC12&lt;&gt;"", Source!AC12," ")</f>
        <v xml:space="preserve"> </v>
      </c>
      <c r="D580" s="36"/>
      <c r="E580" s="36"/>
      <c r="F580" s="36"/>
      <c r="G580" s="36"/>
      <c r="H580" s="10" t="str">
        <f>IF(Source!AB12&lt;&gt;"", Source!AB12," ")</f>
        <v xml:space="preserve"> </v>
      </c>
      <c r="I580" s="10"/>
      <c r="J580" s="10"/>
      <c r="K580" s="10"/>
    </row>
    <row r="581" spans="1:11" ht="14.25" x14ac:dyDescent="0.2">
      <c r="A581" s="10"/>
      <c r="B581" s="10"/>
      <c r="C581" s="56" t="s">
        <v>463</v>
      </c>
      <c r="D581" s="56"/>
      <c r="E581" s="56"/>
      <c r="F581" s="56"/>
      <c r="G581" s="56"/>
      <c r="H581" s="10"/>
      <c r="I581" s="10"/>
      <c r="J581" s="10"/>
      <c r="K581" s="10"/>
    </row>
    <row r="582" spans="1:11" ht="14.25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4.25" x14ac:dyDescent="0.2">
      <c r="A583" s="55" t="s">
        <v>464</v>
      </c>
      <c r="B583" s="55"/>
      <c r="C583" s="36" t="str">
        <f>IF(Source!AE12&lt;&gt;"", Source!AE12," ")</f>
        <v xml:space="preserve"> </v>
      </c>
      <c r="D583" s="36"/>
      <c r="E583" s="36"/>
      <c r="F583" s="36"/>
      <c r="G583" s="36"/>
      <c r="H583" s="10" t="str">
        <f>IF(Source!AD12&lt;&gt;"", Source!AD12," ")</f>
        <v xml:space="preserve"> </v>
      </c>
      <c r="I583" s="10"/>
      <c r="J583" s="10"/>
      <c r="K583" s="10"/>
    </row>
    <row r="584" spans="1:11" ht="14.25" x14ac:dyDescent="0.2">
      <c r="A584" s="10"/>
      <c r="B584" s="10"/>
      <c r="C584" s="56" t="s">
        <v>463</v>
      </c>
      <c r="D584" s="56"/>
      <c r="E584" s="56"/>
      <c r="F584" s="56"/>
      <c r="G584" s="56"/>
      <c r="H584" s="10"/>
      <c r="I584" s="10"/>
      <c r="J584" s="10"/>
      <c r="K584" s="10"/>
    </row>
  </sheetData>
  <mergeCells count="194">
    <mergeCell ref="B7:E7"/>
    <mergeCell ref="G7:K7"/>
    <mergeCell ref="J2:K2"/>
    <mergeCell ref="A10:K10"/>
    <mergeCell ref="A11:K11"/>
    <mergeCell ref="A13:K13"/>
    <mergeCell ref="B3:E3"/>
    <mergeCell ref="G3:K3"/>
    <mergeCell ref="B4:E4"/>
    <mergeCell ref="G4:K4"/>
    <mergeCell ref="B6:E6"/>
    <mergeCell ref="G6:K6"/>
    <mergeCell ref="F22:H22"/>
    <mergeCell ref="I22:J22"/>
    <mergeCell ref="F23:H23"/>
    <mergeCell ref="I23:J23"/>
    <mergeCell ref="F24:H24"/>
    <mergeCell ref="I24:J24"/>
    <mergeCell ref="A15:K15"/>
    <mergeCell ref="A16:K16"/>
    <mergeCell ref="A18:K18"/>
    <mergeCell ref="F20:H20"/>
    <mergeCell ref="I20:J20"/>
    <mergeCell ref="F21:H21"/>
    <mergeCell ref="I21:J21"/>
    <mergeCell ref="F25:H25"/>
    <mergeCell ref="I25:J25"/>
    <mergeCell ref="A27:A29"/>
    <mergeCell ref="B27:B29"/>
    <mergeCell ref="C27:C29"/>
    <mergeCell ref="D27:D29"/>
    <mergeCell ref="E27:E29"/>
    <mergeCell ref="F27:F29"/>
    <mergeCell ref="G27:G29"/>
    <mergeCell ref="H27:H29"/>
    <mergeCell ref="I56:J56"/>
    <mergeCell ref="I61:J61"/>
    <mergeCell ref="I66:J66"/>
    <mergeCell ref="I69:J69"/>
    <mergeCell ref="I80:J80"/>
    <mergeCell ref="I91:J91"/>
    <mergeCell ref="I27:I29"/>
    <mergeCell ref="J27:J29"/>
    <mergeCell ref="A32:K32"/>
    <mergeCell ref="I42:J42"/>
    <mergeCell ref="I49:J49"/>
    <mergeCell ref="C109:H109"/>
    <mergeCell ref="I109:J109"/>
    <mergeCell ref="A111:K111"/>
    <mergeCell ref="I121:J121"/>
    <mergeCell ref="I128:J128"/>
    <mergeCell ref="I135:J135"/>
    <mergeCell ref="I103:J103"/>
    <mergeCell ref="I105:J105"/>
    <mergeCell ref="A105:H105"/>
    <mergeCell ref="C107:H107"/>
    <mergeCell ref="I107:J107"/>
    <mergeCell ref="C108:H108"/>
    <mergeCell ref="I108:J108"/>
    <mergeCell ref="I184:J184"/>
    <mergeCell ref="A184:H184"/>
    <mergeCell ref="C186:H186"/>
    <mergeCell ref="I186:J186"/>
    <mergeCell ref="C187:H187"/>
    <mergeCell ref="I187:J187"/>
    <mergeCell ref="I140:J140"/>
    <mergeCell ref="I144:J144"/>
    <mergeCell ref="I147:J147"/>
    <mergeCell ref="I158:J158"/>
    <mergeCell ref="I169:J169"/>
    <mergeCell ref="I182:J182"/>
    <mergeCell ref="I214:J214"/>
    <mergeCell ref="I218:J218"/>
    <mergeCell ref="I223:J223"/>
    <mergeCell ref="I225:J225"/>
    <mergeCell ref="I236:J236"/>
    <mergeCell ref="I247:J247"/>
    <mergeCell ref="C188:H188"/>
    <mergeCell ref="I188:J188"/>
    <mergeCell ref="A190:K190"/>
    <mergeCell ref="I197:J197"/>
    <mergeCell ref="I204:J204"/>
    <mergeCell ref="I210:J210"/>
    <mergeCell ref="C253:H253"/>
    <mergeCell ref="I253:J253"/>
    <mergeCell ref="A255:K255"/>
    <mergeCell ref="I265:J265"/>
    <mergeCell ref="I275:J275"/>
    <mergeCell ref="I282:J282"/>
    <mergeCell ref="I249:J249"/>
    <mergeCell ref="A249:H249"/>
    <mergeCell ref="C251:H251"/>
    <mergeCell ref="I251:J251"/>
    <mergeCell ref="C252:H252"/>
    <mergeCell ref="I252:J252"/>
    <mergeCell ref="I329:J329"/>
    <mergeCell ref="I331:J331"/>
    <mergeCell ref="A331:H331"/>
    <mergeCell ref="C333:H333"/>
    <mergeCell ref="I333:J333"/>
    <mergeCell ref="C334:H334"/>
    <mergeCell ref="I334:J334"/>
    <mergeCell ref="I287:J287"/>
    <mergeCell ref="I291:J291"/>
    <mergeCell ref="I294:J294"/>
    <mergeCell ref="I305:J305"/>
    <mergeCell ref="I313:J313"/>
    <mergeCell ref="I321:J321"/>
    <mergeCell ref="I370:J370"/>
    <mergeCell ref="A370:H370"/>
    <mergeCell ref="A376:K376"/>
    <mergeCell ref="I390:J390"/>
    <mergeCell ref="I392:J392"/>
    <mergeCell ref="A392:H392"/>
    <mergeCell ref="C335:H335"/>
    <mergeCell ref="I335:J335"/>
    <mergeCell ref="A337:K337"/>
    <mergeCell ref="I348:J348"/>
    <mergeCell ref="I356:J356"/>
    <mergeCell ref="I368:J368"/>
    <mergeCell ref="A398:K398"/>
    <mergeCell ref="I408:J408"/>
    <mergeCell ref="I415:J415"/>
    <mergeCell ref="I422:J422"/>
    <mergeCell ref="I427:J427"/>
    <mergeCell ref="I431:J431"/>
    <mergeCell ref="C394:H394"/>
    <mergeCell ref="I394:J394"/>
    <mergeCell ref="C395:H395"/>
    <mergeCell ref="I395:J395"/>
    <mergeCell ref="C396:H396"/>
    <mergeCell ref="I396:J396"/>
    <mergeCell ref="C472:H472"/>
    <mergeCell ref="I472:J472"/>
    <mergeCell ref="C473:H473"/>
    <mergeCell ref="I473:J473"/>
    <mergeCell ref="C474:H474"/>
    <mergeCell ref="I474:J474"/>
    <mergeCell ref="I434:J434"/>
    <mergeCell ref="I445:J445"/>
    <mergeCell ref="I456:J456"/>
    <mergeCell ref="I468:J468"/>
    <mergeCell ref="I470:J470"/>
    <mergeCell ref="A470:H470"/>
    <mergeCell ref="I509:J509"/>
    <mergeCell ref="I511:J511"/>
    <mergeCell ref="I522:J522"/>
    <mergeCell ref="I533:J533"/>
    <mergeCell ref="I535:J535"/>
    <mergeCell ref="A535:H535"/>
    <mergeCell ref="A476:K476"/>
    <mergeCell ref="I483:J483"/>
    <mergeCell ref="I490:J490"/>
    <mergeCell ref="I496:J496"/>
    <mergeCell ref="I500:J500"/>
    <mergeCell ref="I504:J504"/>
    <mergeCell ref="C571:H571"/>
    <mergeCell ref="I571:J571"/>
    <mergeCell ref="C553:H553"/>
    <mergeCell ref="I553:J553"/>
    <mergeCell ref="C554:H554"/>
    <mergeCell ref="I554:J554"/>
    <mergeCell ref="A556:K556"/>
    <mergeCell ref="I566:J566"/>
    <mergeCell ref="A537:K537"/>
    <mergeCell ref="I548:J548"/>
    <mergeCell ref="I550:J550"/>
    <mergeCell ref="A550:H550"/>
    <mergeCell ref="C552:H552"/>
    <mergeCell ref="I552:J552"/>
    <mergeCell ref="A580:B580"/>
    <mergeCell ref="C581:G581"/>
    <mergeCell ref="A583:B583"/>
    <mergeCell ref="C584:G584"/>
    <mergeCell ref="C372:H372"/>
    <mergeCell ref="I372:J372"/>
    <mergeCell ref="C373:H373"/>
    <mergeCell ref="I373:J373"/>
    <mergeCell ref="C374:H374"/>
    <mergeCell ref="I374:J374"/>
    <mergeCell ref="C575:H575"/>
    <mergeCell ref="I575:J575"/>
    <mergeCell ref="C576:H576"/>
    <mergeCell ref="I576:J576"/>
    <mergeCell ref="C577:H577"/>
    <mergeCell ref="I577:J577"/>
    <mergeCell ref="C572:H572"/>
    <mergeCell ref="I572:J572"/>
    <mergeCell ref="I574:J574"/>
    <mergeCell ref="A574:H574"/>
    <mergeCell ref="I568:J568"/>
    <mergeCell ref="A568:H568"/>
    <mergeCell ref="C570:H570"/>
    <mergeCell ref="I570:J570"/>
  </mergeCells>
  <pageMargins left="0.4" right="0.2" top="0.2" bottom="0.4" header="0.2" footer="0.2"/>
  <pageSetup paperSize="9" scale="61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workbookViewId="0"/>
  </sheetViews>
  <sheetFormatPr defaultRowHeight="12.75" x14ac:dyDescent="0.2"/>
  <sheetData>
    <row r="1" spans="1:23" x14ac:dyDescent="0.2">
      <c r="A1" t="s">
        <v>488</v>
      </c>
      <c r="B1" t="s">
        <v>489</v>
      </c>
      <c r="C1" t="s">
        <v>490</v>
      </c>
      <c r="D1" t="s">
        <v>491</v>
      </c>
      <c r="E1" t="s">
        <v>492</v>
      </c>
      <c r="F1" t="s">
        <v>493</v>
      </c>
      <c r="G1" t="s">
        <v>494</v>
      </c>
      <c r="H1" t="s">
        <v>495</v>
      </c>
      <c r="I1" t="s">
        <v>496</v>
      </c>
      <c r="J1" t="s">
        <v>497</v>
      </c>
    </row>
    <row r="2" spans="1:23" x14ac:dyDescent="0.2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1</v>
      </c>
      <c r="H2">
        <v>0</v>
      </c>
      <c r="I2">
        <v>1</v>
      </c>
      <c r="J2">
        <v>0</v>
      </c>
    </row>
    <row r="4" spans="1:23" x14ac:dyDescent="0.2">
      <c r="A4" t="s">
        <v>465</v>
      </c>
      <c r="B4" t="s">
        <v>466</v>
      </c>
      <c r="C4" t="s">
        <v>467</v>
      </c>
      <c r="D4" t="s">
        <v>468</v>
      </c>
      <c r="E4" t="s">
        <v>469</v>
      </c>
      <c r="F4" t="s">
        <v>470</v>
      </c>
      <c r="G4" t="s">
        <v>471</v>
      </c>
      <c r="H4" t="s">
        <v>472</v>
      </c>
      <c r="I4" t="s">
        <v>473</v>
      </c>
      <c r="J4" t="s">
        <v>474</v>
      </c>
      <c r="K4" t="s">
        <v>475</v>
      </c>
      <c r="L4" t="s">
        <v>476</v>
      </c>
      <c r="M4" t="s">
        <v>477</v>
      </c>
      <c r="N4" t="s">
        <v>478</v>
      </c>
      <c r="O4" t="s">
        <v>479</v>
      </c>
      <c r="P4" t="s">
        <v>480</v>
      </c>
      <c r="Q4" t="s">
        <v>481</v>
      </c>
      <c r="R4" t="s">
        <v>482</v>
      </c>
      <c r="S4" t="s">
        <v>483</v>
      </c>
      <c r="T4" t="s">
        <v>484</v>
      </c>
      <c r="U4" t="s">
        <v>485</v>
      </c>
      <c r="V4" t="s">
        <v>486</v>
      </c>
      <c r="W4" t="s">
        <v>487</v>
      </c>
    </row>
    <row r="6" spans="1:23" x14ac:dyDescent="0.2">
      <c r="A6">
        <f>Source!A20</f>
        <v>3</v>
      </c>
      <c r="B6">
        <v>20</v>
      </c>
      <c r="G6" t="str">
        <f>Source!G20</f>
        <v>Выполнение работ по благоустройству дворовых территориях Таганского района в 2021 году</v>
      </c>
    </row>
    <row r="7" spans="1:23" x14ac:dyDescent="0.2">
      <c r="A7">
        <f>Source!A24</f>
        <v>4</v>
      </c>
      <c r="B7">
        <v>24</v>
      </c>
      <c r="G7" t="str">
        <f>Source!G24</f>
        <v>Раздел 4.  А/б покрытие пешеходных тротуаров на новое основание (АТ-1) - 35 м2</v>
      </c>
    </row>
    <row r="8" spans="1:23" x14ac:dyDescent="0.2">
      <c r="A8">
        <f>Source!A33</f>
        <v>17</v>
      </c>
      <c r="C8">
        <v>3</v>
      </c>
      <c r="D8">
        <f>Source!BI33</f>
        <v>1</v>
      </c>
      <c r="E8">
        <f>Source!FS33</f>
        <v>0</v>
      </c>
      <c r="F8" t="str">
        <f>Source!F33</f>
        <v>Коммерческое предложение</v>
      </c>
      <c r="G8" t="str">
        <f>Source!G33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H8" t="str">
        <f>Source!H33</f>
        <v/>
      </c>
      <c r="I8">
        <f>Source!I33</f>
        <v>22.05</v>
      </c>
      <c r="J8">
        <v>1</v>
      </c>
      <c r="K8">
        <f>Source!AC33</f>
        <v>100.3</v>
      </c>
      <c r="M8">
        <f>ROUND(K8*I8, 2)</f>
        <v>2211.62</v>
      </c>
      <c r="N8">
        <f>Source!AC33*IF(Source!BC33&lt;&gt; 0, Source!BC33, 1)</f>
        <v>100.3</v>
      </c>
      <c r="O8">
        <f>ROUND(N8*I8, 2)</f>
        <v>2211.62</v>
      </c>
      <c r="P8">
        <f>Source!AE33</f>
        <v>0</v>
      </c>
      <c r="R8">
        <f>ROUND(P8*I8, 2)</f>
        <v>0</v>
      </c>
      <c r="S8">
        <f>Source!AE33*IF(Source!BS33&lt;&gt; 0, Source!BS33, 1)</f>
        <v>0</v>
      </c>
      <c r="T8">
        <f>ROUND(S8*I8, 2)</f>
        <v>0</v>
      </c>
      <c r="U8">
        <f>Source!GF33</f>
        <v>572566054</v>
      </c>
      <c r="V8">
        <v>179020775</v>
      </c>
      <c r="W8">
        <v>179020775</v>
      </c>
    </row>
    <row r="9" spans="1:23" x14ac:dyDescent="0.2">
      <c r="A9">
        <f>Source!A34</f>
        <v>17</v>
      </c>
      <c r="C9">
        <v>3</v>
      </c>
      <c r="D9">
        <v>0</v>
      </c>
      <c r="E9">
        <f>SmtRes!AV15</f>
        <v>0</v>
      </c>
      <c r="F9" t="str">
        <f>SmtRes!I15</f>
        <v>21.1-25-13</v>
      </c>
      <c r="G9" t="str">
        <f>SmtRes!K15</f>
        <v>Вода</v>
      </c>
      <c r="H9" t="str">
        <f>SmtRes!O15</f>
        <v>м3</v>
      </c>
      <c r="I9">
        <f>SmtRes!Y15*Source!I34</f>
        <v>0.35000000000000003</v>
      </c>
      <c r="J9">
        <f>SmtRes!AO15</f>
        <v>1</v>
      </c>
      <c r="K9">
        <f>SmtRes!AE15</f>
        <v>35.25</v>
      </c>
      <c r="L9">
        <f>SmtRes!DB15</f>
        <v>176.25</v>
      </c>
      <c r="M9">
        <f>ROUND(ROUND(L9*Source!I34, 6)*1, 2)</f>
        <v>12.34</v>
      </c>
      <c r="N9">
        <f>SmtRes!AA15</f>
        <v>35.25</v>
      </c>
      <c r="O9">
        <f>ROUND(ROUND(L9*Source!I34, 6)*SmtRes!DA15, 2)</f>
        <v>12.34</v>
      </c>
      <c r="P9">
        <f>SmtRes!AG15</f>
        <v>0</v>
      </c>
      <c r="Q9">
        <f>SmtRes!DC15</f>
        <v>0</v>
      </c>
      <c r="R9">
        <f>ROUND(ROUND(Q9*Source!I34, 6)*1, 2)</f>
        <v>0</v>
      </c>
      <c r="S9">
        <f>SmtRes!AC15</f>
        <v>0</v>
      </c>
      <c r="T9">
        <f>ROUND(ROUND(Q9*Source!I34, 6)*SmtRes!AK15, 2)</f>
        <v>0</v>
      </c>
      <c r="U9">
        <f>SmtRes!X15</f>
        <v>2028445372</v>
      </c>
      <c r="V9">
        <v>1411454429</v>
      </c>
      <c r="W9">
        <v>1411454429</v>
      </c>
    </row>
    <row r="10" spans="1:23" x14ac:dyDescent="0.2">
      <c r="A10">
        <f>Source!A34</f>
        <v>17</v>
      </c>
      <c r="C10">
        <v>3</v>
      </c>
      <c r="D10">
        <v>0</v>
      </c>
      <c r="E10">
        <f>SmtRes!AV14</f>
        <v>0</v>
      </c>
      <c r="F10" t="str">
        <f>SmtRes!I14</f>
        <v>21.1-12-10</v>
      </c>
      <c r="G10" t="str">
        <f>SmtRes!K14</f>
        <v>Песок для дорожных работ, рядовой</v>
      </c>
      <c r="H10" t="str">
        <f>SmtRes!O14</f>
        <v>м3</v>
      </c>
      <c r="I10">
        <f>SmtRes!Y14*Source!I34</f>
        <v>7.7000000000000011</v>
      </c>
      <c r="J10">
        <f>SmtRes!AO14</f>
        <v>1</v>
      </c>
      <c r="K10">
        <f>SmtRes!AE14</f>
        <v>590.78</v>
      </c>
      <c r="L10">
        <f>SmtRes!DB14</f>
        <v>64985.8</v>
      </c>
      <c r="M10">
        <f>ROUND(ROUND(L10*Source!I34, 6)*1, 2)</f>
        <v>4549.01</v>
      </c>
      <c r="N10">
        <f>SmtRes!AA14</f>
        <v>590.78</v>
      </c>
      <c r="O10">
        <f>ROUND(ROUND(L10*Source!I34, 6)*SmtRes!DA14, 2)</f>
        <v>4549.01</v>
      </c>
      <c r="P10">
        <f>SmtRes!AG14</f>
        <v>0</v>
      </c>
      <c r="Q10">
        <f>SmtRes!DC14</f>
        <v>0</v>
      </c>
      <c r="R10">
        <f>ROUND(ROUND(Q10*Source!I34, 6)*1, 2)</f>
        <v>0</v>
      </c>
      <c r="S10">
        <f>SmtRes!AC14</f>
        <v>0</v>
      </c>
      <c r="T10">
        <f>ROUND(ROUND(Q10*Source!I34, 6)*SmtRes!AK14, 2)</f>
        <v>0</v>
      </c>
      <c r="U10">
        <f>SmtRes!X14</f>
        <v>-840107338</v>
      </c>
      <c r="V10">
        <v>1585412624</v>
      </c>
      <c r="W10">
        <v>1585412624</v>
      </c>
    </row>
    <row r="11" spans="1:23" x14ac:dyDescent="0.2">
      <c r="A11">
        <f>Source!A35</f>
        <v>17</v>
      </c>
      <c r="C11">
        <v>3</v>
      </c>
      <c r="D11">
        <v>0</v>
      </c>
      <c r="E11">
        <f>SmtRes!AV24</f>
        <v>0</v>
      </c>
      <c r="F11" t="str">
        <f>SmtRes!I24</f>
        <v>21.1-25-13</v>
      </c>
      <c r="G11" t="str">
        <f>SmtRes!K24</f>
        <v>Вода</v>
      </c>
      <c r="H11" t="str">
        <f>SmtRes!O24</f>
        <v>м3</v>
      </c>
      <c r="I11">
        <f>SmtRes!Y24*Source!I35</f>
        <v>0.49000000000000005</v>
      </c>
      <c r="J11">
        <f>SmtRes!AO24</f>
        <v>1</v>
      </c>
      <c r="K11">
        <f>SmtRes!AE24</f>
        <v>35.25</v>
      </c>
      <c r="L11">
        <f>SmtRes!DB24</f>
        <v>246.75</v>
      </c>
      <c r="M11">
        <f>ROUND(ROUND(L11*Source!I35, 6)*1, 2)</f>
        <v>17.27</v>
      </c>
      <c r="N11">
        <f>SmtRes!AA24</f>
        <v>35.25</v>
      </c>
      <c r="O11">
        <f>ROUND(ROUND(L11*Source!I35, 6)*SmtRes!DA24, 2)</f>
        <v>17.27</v>
      </c>
      <c r="P11">
        <f>SmtRes!AG24</f>
        <v>0</v>
      </c>
      <c r="Q11">
        <f>SmtRes!DC24</f>
        <v>0</v>
      </c>
      <c r="R11">
        <f>ROUND(ROUND(Q11*Source!I35, 6)*1, 2)</f>
        <v>0</v>
      </c>
      <c r="S11">
        <f>SmtRes!AC24</f>
        <v>0</v>
      </c>
      <c r="T11">
        <f>ROUND(ROUND(Q11*Source!I35, 6)*SmtRes!AK24, 2)</f>
        <v>0</v>
      </c>
      <c r="U11">
        <f>SmtRes!X24</f>
        <v>2028445372</v>
      </c>
      <c r="V11">
        <v>1411454429</v>
      </c>
      <c r="W11">
        <v>1411454429</v>
      </c>
    </row>
    <row r="12" spans="1:23" x14ac:dyDescent="0.2">
      <c r="A12">
        <f>Source!A35</f>
        <v>17</v>
      </c>
      <c r="C12">
        <v>3</v>
      </c>
      <c r="D12">
        <v>0</v>
      </c>
      <c r="E12">
        <f>SmtRes!AV23</f>
        <v>0</v>
      </c>
      <c r="F12" t="str">
        <f>SmtRes!I23</f>
        <v>21.1-12-36</v>
      </c>
      <c r="G12" t="str">
        <f>SmtRes!K23</f>
        <v>Щебень из естественного камня для строительных работ, марка 1200-800, фракция 20-40 мм</v>
      </c>
      <c r="H12" t="str">
        <f>SmtRes!O23</f>
        <v>м3</v>
      </c>
      <c r="I12">
        <f>SmtRes!Y23*Source!I35</f>
        <v>8.82</v>
      </c>
      <c r="J12">
        <f>SmtRes!AO23</f>
        <v>1</v>
      </c>
      <c r="K12">
        <f>SmtRes!AE23</f>
        <v>1763.75</v>
      </c>
      <c r="L12">
        <f>SmtRes!DB23</f>
        <v>222232.5</v>
      </c>
      <c r="M12">
        <f>ROUND(ROUND(L12*Source!I35, 6)*1, 2)</f>
        <v>15556.28</v>
      </c>
      <c r="N12">
        <f>SmtRes!AA23</f>
        <v>1763.75</v>
      </c>
      <c r="O12">
        <f>ROUND(ROUND(L12*Source!I35, 6)*SmtRes!DA23, 2)</f>
        <v>15556.28</v>
      </c>
      <c r="P12">
        <f>SmtRes!AG23</f>
        <v>0</v>
      </c>
      <c r="Q12">
        <f>SmtRes!DC23</f>
        <v>0</v>
      </c>
      <c r="R12">
        <f>ROUND(ROUND(Q12*Source!I35, 6)*1, 2)</f>
        <v>0</v>
      </c>
      <c r="S12">
        <f>SmtRes!AC23</f>
        <v>0</v>
      </c>
      <c r="T12">
        <f>ROUND(ROUND(Q12*Source!I35, 6)*SmtRes!AK23, 2)</f>
        <v>0</v>
      </c>
      <c r="U12">
        <f>SmtRes!X23</f>
        <v>811973350</v>
      </c>
      <c r="V12">
        <v>-100050385</v>
      </c>
      <c r="W12">
        <v>-100050385</v>
      </c>
    </row>
    <row r="13" spans="1:23" x14ac:dyDescent="0.2">
      <c r="A13">
        <f>Source!A36</f>
        <v>17</v>
      </c>
      <c r="C13">
        <v>3</v>
      </c>
      <c r="D13">
        <v>0</v>
      </c>
      <c r="E13">
        <f>SmtRes!AV27</f>
        <v>0</v>
      </c>
      <c r="F13" t="str">
        <f>SmtRes!I27</f>
        <v>21.1-1-3</v>
      </c>
      <c r="G13" t="str">
        <f>SmtRes!K27</f>
        <v>Битумы нефтяные, дорожные жидкие, марка МГ, СГ</v>
      </c>
      <c r="H13" t="str">
        <f>SmtRes!O27</f>
        <v>т</v>
      </c>
      <c r="I13">
        <f>SmtRes!Y27*Source!I36</f>
        <v>2.0999999999999998E-2</v>
      </c>
      <c r="J13">
        <f>SmtRes!AO27</f>
        <v>1</v>
      </c>
      <c r="K13">
        <f>SmtRes!AE27</f>
        <v>25888.1</v>
      </c>
      <c r="L13">
        <f>SmtRes!DB27</f>
        <v>1553.29</v>
      </c>
      <c r="M13">
        <f>ROUND(ROUND(L13*Source!I36, 6)*1, 2)</f>
        <v>543.65</v>
      </c>
      <c r="N13">
        <f>SmtRes!AA27</f>
        <v>25888.1</v>
      </c>
      <c r="O13">
        <f>ROUND(ROUND(L13*Source!I36, 6)*SmtRes!DA27, 2)</f>
        <v>543.65</v>
      </c>
      <c r="P13">
        <f>SmtRes!AG27</f>
        <v>0</v>
      </c>
      <c r="Q13">
        <f>SmtRes!DC27</f>
        <v>0</v>
      </c>
      <c r="R13">
        <f>ROUND(ROUND(Q13*Source!I36, 6)*1, 2)</f>
        <v>0</v>
      </c>
      <c r="S13">
        <f>SmtRes!AC27</f>
        <v>0</v>
      </c>
      <c r="T13">
        <f>ROUND(ROUND(Q13*Source!I36, 6)*SmtRes!AK27, 2)</f>
        <v>0</v>
      </c>
      <c r="U13">
        <f>SmtRes!X27</f>
        <v>-298244648</v>
      </c>
      <c r="V13">
        <v>1510401827</v>
      </c>
      <c r="W13">
        <v>1510401827</v>
      </c>
    </row>
    <row r="14" spans="1:23" x14ac:dyDescent="0.2">
      <c r="A14">
        <f>Source!A38</f>
        <v>18</v>
      </c>
      <c r="C14">
        <v>3</v>
      </c>
      <c r="D14">
        <f>Source!BI38</f>
        <v>4</v>
      </c>
      <c r="E14">
        <f>Source!FS38</f>
        <v>0</v>
      </c>
      <c r="F14" t="str">
        <f>Source!F38</f>
        <v>21.3-3-34</v>
      </c>
      <c r="G14" t="str">
        <f>Source!G38</f>
        <v>Смеси асфальтобетонные дорожные горячие песчаные, тип Д, марка III</v>
      </c>
      <c r="H14" t="str">
        <f>Source!H38</f>
        <v>т</v>
      </c>
      <c r="I14">
        <f>Source!I38</f>
        <v>4.165</v>
      </c>
      <c r="J14">
        <v>1</v>
      </c>
      <c r="K14">
        <f>Source!AC38</f>
        <v>2652.04</v>
      </c>
      <c r="M14">
        <f>ROUND(K14*I14, 2)</f>
        <v>11045.75</v>
      </c>
      <c r="N14">
        <f>Source!AC38*IF(Source!BC38&lt;&gt; 0, Source!BC38, 1)</f>
        <v>2652.04</v>
      </c>
      <c r="O14">
        <f>ROUND(N14*I14, 2)</f>
        <v>11045.75</v>
      </c>
      <c r="P14">
        <f>Source!AE38</f>
        <v>0</v>
      </c>
      <c r="R14">
        <f>ROUND(P14*I14, 2)</f>
        <v>0</v>
      </c>
      <c r="S14">
        <f>Source!AE38*IF(Source!BS38&lt;&gt; 0, Source!BS38, 1)</f>
        <v>0</v>
      </c>
      <c r="T14">
        <f>ROUND(S14*I14, 2)</f>
        <v>0</v>
      </c>
      <c r="U14">
        <f>Source!GF38</f>
        <v>-740831190</v>
      </c>
      <c r="V14">
        <v>-1897797422</v>
      </c>
      <c r="W14">
        <v>-1897797422</v>
      </c>
    </row>
    <row r="15" spans="1:23" x14ac:dyDescent="0.2">
      <c r="A15">
        <f>Source!A72</f>
        <v>4</v>
      </c>
      <c r="B15">
        <v>72</v>
      </c>
      <c r="G15" t="str">
        <f>Source!G72</f>
        <v xml:space="preserve">Раздел 10.1 . Устройство новых оснований площадок (детские, спортивные, воркаут) АБП </v>
      </c>
    </row>
    <row r="16" spans="1:23" x14ac:dyDescent="0.2">
      <c r="A16">
        <f>Source!A81</f>
        <v>17</v>
      </c>
      <c r="C16">
        <v>3</v>
      </c>
      <c r="D16">
        <f>Source!BI81</f>
        <v>1</v>
      </c>
      <c r="E16">
        <f>Source!FS81</f>
        <v>0</v>
      </c>
      <c r="F16" t="str">
        <f>Source!F81</f>
        <v>Коммерческое предложение</v>
      </c>
      <c r="G16" t="str">
        <f>Source!G81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H16" t="str">
        <f>Source!H81</f>
        <v/>
      </c>
      <c r="I16">
        <f>Source!I81</f>
        <v>1895.712</v>
      </c>
      <c r="J16">
        <v>1</v>
      </c>
      <c r="K16">
        <f>Source!AC81</f>
        <v>100.3</v>
      </c>
      <c r="M16">
        <f>ROUND(K16*I16, 2)</f>
        <v>190139.91</v>
      </c>
      <c r="N16">
        <f>Source!AC81*IF(Source!BC81&lt;&gt; 0, Source!BC81, 1)</f>
        <v>100.3</v>
      </c>
      <c r="O16">
        <f>ROUND(N16*I16, 2)</f>
        <v>190139.91</v>
      </c>
      <c r="P16">
        <f>Source!AE81</f>
        <v>0</v>
      </c>
      <c r="R16">
        <f>ROUND(P16*I16, 2)</f>
        <v>0</v>
      </c>
      <c r="S16">
        <f>Source!AE81*IF(Source!BS81&lt;&gt; 0, Source!BS81, 1)</f>
        <v>0</v>
      </c>
      <c r="T16">
        <f>ROUND(S16*I16, 2)</f>
        <v>0</v>
      </c>
      <c r="U16">
        <f>Source!GF81</f>
        <v>572566054</v>
      </c>
      <c r="V16">
        <v>179020775</v>
      </c>
      <c r="W16">
        <v>179020775</v>
      </c>
    </row>
    <row r="17" spans="1:23" x14ac:dyDescent="0.2">
      <c r="A17">
        <f>Source!A82</f>
        <v>17</v>
      </c>
      <c r="C17">
        <v>3</v>
      </c>
      <c r="D17">
        <v>0</v>
      </c>
      <c r="E17">
        <f>SmtRes!AV44</f>
        <v>0</v>
      </c>
      <c r="F17" t="str">
        <f>SmtRes!I44</f>
        <v>21.1-25-13</v>
      </c>
      <c r="G17" t="str">
        <f>SmtRes!K44</f>
        <v>Вода</v>
      </c>
      <c r="H17" t="str">
        <f>SmtRes!O44</f>
        <v>м3</v>
      </c>
      <c r="I17">
        <f>SmtRes!Y44*Source!I82</f>
        <v>32.24</v>
      </c>
      <c r="J17">
        <f>SmtRes!AO44</f>
        <v>1</v>
      </c>
      <c r="K17">
        <f>SmtRes!AE44</f>
        <v>35.25</v>
      </c>
      <c r="L17">
        <f>SmtRes!DB44</f>
        <v>176.25</v>
      </c>
      <c r="M17">
        <f>ROUND(ROUND(L17*Source!I82, 6)*1, 2)</f>
        <v>1136.46</v>
      </c>
      <c r="N17">
        <f>SmtRes!AA44</f>
        <v>35.25</v>
      </c>
      <c r="O17">
        <f>ROUND(ROUND(L17*Source!I82, 6)*SmtRes!DA44, 2)</f>
        <v>1136.46</v>
      </c>
      <c r="P17">
        <f>SmtRes!AG44</f>
        <v>0</v>
      </c>
      <c r="Q17">
        <f>SmtRes!DC44</f>
        <v>0</v>
      </c>
      <c r="R17">
        <f>ROUND(ROUND(Q17*Source!I82, 6)*1, 2)</f>
        <v>0</v>
      </c>
      <c r="S17">
        <f>SmtRes!AC44</f>
        <v>0</v>
      </c>
      <c r="T17">
        <f>ROUND(ROUND(Q17*Source!I82, 6)*SmtRes!AK44, 2)</f>
        <v>0</v>
      </c>
      <c r="U17">
        <f>SmtRes!X44</f>
        <v>2028445372</v>
      </c>
      <c r="V17">
        <v>1411454429</v>
      </c>
      <c r="W17">
        <v>1411454429</v>
      </c>
    </row>
    <row r="18" spans="1:23" x14ac:dyDescent="0.2">
      <c r="A18">
        <f>Source!A82</f>
        <v>17</v>
      </c>
      <c r="C18">
        <v>3</v>
      </c>
      <c r="D18">
        <v>0</v>
      </c>
      <c r="E18">
        <f>SmtRes!AV43</f>
        <v>0</v>
      </c>
      <c r="F18" t="str">
        <f>SmtRes!I43</f>
        <v>21.1-12-10</v>
      </c>
      <c r="G18" t="str">
        <f>SmtRes!K43</f>
        <v>Песок для дорожных работ, рядовой</v>
      </c>
      <c r="H18" t="str">
        <f>SmtRes!O43</f>
        <v>м3</v>
      </c>
      <c r="I18">
        <f>SmtRes!Y43*Source!I82</f>
        <v>709.28000000000009</v>
      </c>
      <c r="J18">
        <f>SmtRes!AO43</f>
        <v>1</v>
      </c>
      <c r="K18">
        <f>SmtRes!AE43</f>
        <v>590.78</v>
      </c>
      <c r="L18">
        <f>SmtRes!DB43</f>
        <v>64985.8</v>
      </c>
      <c r="M18">
        <f>ROUND(ROUND(L18*Source!I82, 6)*1, 2)</f>
        <v>419028.44</v>
      </c>
      <c r="N18">
        <f>SmtRes!AA43</f>
        <v>590.78</v>
      </c>
      <c r="O18">
        <f>ROUND(ROUND(L18*Source!I82, 6)*SmtRes!DA43, 2)</f>
        <v>419028.44</v>
      </c>
      <c r="P18">
        <f>SmtRes!AG43</f>
        <v>0</v>
      </c>
      <c r="Q18">
        <f>SmtRes!DC43</f>
        <v>0</v>
      </c>
      <c r="R18">
        <f>ROUND(ROUND(Q18*Source!I82, 6)*1, 2)</f>
        <v>0</v>
      </c>
      <c r="S18">
        <f>SmtRes!AC43</f>
        <v>0</v>
      </c>
      <c r="T18">
        <f>ROUND(ROUND(Q18*Source!I82, 6)*SmtRes!AK43, 2)</f>
        <v>0</v>
      </c>
      <c r="U18">
        <f>SmtRes!X43</f>
        <v>-840107338</v>
      </c>
      <c r="V18">
        <v>1585412624</v>
      </c>
      <c r="W18">
        <v>1585412624</v>
      </c>
    </row>
    <row r="19" spans="1:23" x14ac:dyDescent="0.2">
      <c r="A19">
        <f>Source!A83</f>
        <v>17</v>
      </c>
      <c r="C19">
        <v>3</v>
      </c>
      <c r="D19">
        <v>0</v>
      </c>
      <c r="E19">
        <f>SmtRes!AV53</f>
        <v>0</v>
      </c>
      <c r="F19" t="str">
        <f>SmtRes!I53</f>
        <v>21.1-25-13</v>
      </c>
      <c r="G19" t="str">
        <f>SmtRes!K53</f>
        <v>Вода</v>
      </c>
      <c r="H19" t="str">
        <f>SmtRes!O53</f>
        <v>м3</v>
      </c>
      <c r="I19">
        <f>SmtRes!Y53*Source!I83</f>
        <v>33.0792</v>
      </c>
      <c r="J19">
        <f>SmtRes!AO53</f>
        <v>1</v>
      </c>
      <c r="K19">
        <f>SmtRes!AE53</f>
        <v>35.25</v>
      </c>
      <c r="L19">
        <f>SmtRes!DB53</f>
        <v>246.75</v>
      </c>
      <c r="M19">
        <f>ROUND(ROUND(L19*Source!I83, 6)*1, 2)</f>
        <v>1166.04</v>
      </c>
      <c r="N19">
        <f>SmtRes!AA53</f>
        <v>35.25</v>
      </c>
      <c r="O19">
        <f>ROUND(ROUND(L19*Source!I83, 6)*SmtRes!DA53, 2)</f>
        <v>1166.04</v>
      </c>
      <c r="P19">
        <f>SmtRes!AG53</f>
        <v>0</v>
      </c>
      <c r="Q19">
        <f>SmtRes!DC53</f>
        <v>0</v>
      </c>
      <c r="R19">
        <f>ROUND(ROUND(Q19*Source!I83, 6)*1, 2)</f>
        <v>0</v>
      </c>
      <c r="S19">
        <f>SmtRes!AC53</f>
        <v>0</v>
      </c>
      <c r="T19">
        <f>ROUND(ROUND(Q19*Source!I83, 6)*SmtRes!AK53, 2)</f>
        <v>0</v>
      </c>
      <c r="U19">
        <f>SmtRes!X53</f>
        <v>2028445372</v>
      </c>
      <c r="V19">
        <v>1411454429</v>
      </c>
      <c r="W19">
        <v>1411454429</v>
      </c>
    </row>
    <row r="20" spans="1:23" x14ac:dyDescent="0.2">
      <c r="A20">
        <f>Source!A83</f>
        <v>17</v>
      </c>
      <c r="C20">
        <v>3</v>
      </c>
      <c r="D20">
        <v>0</v>
      </c>
      <c r="E20">
        <f>SmtRes!AV52</f>
        <v>0</v>
      </c>
      <c r="F20" t="str">
        <f>SmtRes!I52</f>
        <v>21.1-12-36</v>
      </c>
      <c r="G20" t="str">
        <f>SmtRes!K52</f>
        <v>Щебень из естественного камня для строительных работ, марка 1200-800, фракция 20-40 мм</v>
      </c>
      <c r="H20" t="str">
        <f>SmtRes!O52</f>
        <v>м3</v>
      </c>
      <c r="I20">
        <f>SmtRes!Y52*Source!I83</f>
        <v>595.42560000000003</v>
      </c>
      <c r="J20">
        <f>SmtRes!AO52</f>
        <v>1</v>
      </c>
      <c r="K20">
        <f>SmtRes!AE52</f>
        <v>1763.75</v>
      </c>
      <c r="L20">
        <f>SmtRes!DB52</f>
        <v>222232.5</v>
      </c>
      <c r="M20">
        <f>ROUND(ROUND(L20*Source!I83, 6)*1, 2)</f>
        <v>1050181.8999999999</v>
      </c>
      <c r="N20">
        <f>SmtRes!AA52</f>
        <v>1763.75</v>
      </c>
      <c r="O20">
        <f>ROUND(ROUND(L20*Source!I83, 6)*SmtRes!DA52, 2)</f>
        <v>1050181.8999999999</v>
      </c>
      <c r="P20">
        <f>SmtRes!AG52</f>
        <v>0</v>
      </c>
      <c r="Q20">
        <f>SmtRes!DC52</f>
        <v>0</v>
      </c>
      <c r="R20">
        <f>ROUND(ROUND(Q20*Source!I83, 6)*1, 2)</f>
        <v>0</v>
      </c>
      <c r="S20">
        <f>SmtRes!AC52</f>
        <v>0</v>
      </c>
      <c r="T20">
        <f>ROUND(ROUND(Q20*Source!I83, 6)*SmtRes!AK52, 2)</f>
        <v>0</v>
      </c>
      <c r="U20">
        <f>SmtRes!X52</f>
        <v>811973350</v>
      </c>
      <c r="V20">
        <v>-100050385</v>
      </c>
      <c r="W20">
        <v>-100050385</v>
      </c>
    </row>
    <row r="21" spans="1:23" x14ac:dyDescent="0.2">
      <c r="A21">
        <f>Source!A84</f>
        <v>17</v>
      </c>
      <c r="C21">
        <v>3</v>
      </c>
      <c r="D21">
        <v>0</v>
      </c>
      <c r="E21">
        <f>SmtRes!AV56</f>
        <v>0</v>
      </c>
      <c r="F21" t="str">
        <f>SmtRes!I56</f>
        <v>21.1-1-3</v>
      </c>
      <c r="G21" t="str">
        <f>SmtRes!K56</f>
        <v>Битумы нефтяные, дорожные жидкие, марка МГ, СГ</v>
      </c>
      <c r="H21" t="str">
        <f>SmtRes!O56</f>
        <v>т</v>
      </c>
      <c r="I21">
        <f>SmtRes!Y56*Source!I84</f>
        <v>1.44</v>
      </c>
      <c r="J21">
        <f>SmtRes!AO56</f>
        <v>1</v>
      </c>
      <c r="K21">
        <f>SmtRes!AE56</f>
        <v>25888.1</v>
      </c>
      <c r="L21">
        <f>SmtRes!DB56</f>
        <v>1553.29</v>
      </c>
      <c r="M21">
        <f>ROUND(ROUND(L21*Source!I84, 6)*1, 2)</f>
        <v>37278.959999999999</v>
      </c>
      <c r="N21">
        <f>SmtRes!AA56</f>
        <v>25888.1</v>
      </c>
      <c r="O21">
        <f>ROUND(ROUND(L21*Source!I84, 6)*SmtRes!DA56, 2)</f>
        <v>37278.959999999999</v>
      </c>
      <c r="P21">
        <f>SmtRes!AG56</f>
        <v>0</v>
      </c>
      <c r="Q21">
        <f>SmtRes!DC56</f>
        <v>0</v>
      </c>
      <c r="R21">
        <f>ROUND(ROUND(Q21*Source!I84, 6)*1, 2)</f>
        <v>0</v>
      </c>
      <c r="S21">
        <f>SmtRes!AC56</f>
        <v>0</v>
      </c>
      <c r="T21">
        <f>ROUND(ROUND(Q21*Source!I84, 6)*SmtRes!AK56, 2)</f>
        <v>0</v>
      </c>
      <c r="U21">
        <f>SmtRes!X56</f>
        <v>-298244648</v>
      </c>
      <c r="V21">
        <v>1510401827</v>
      </c>
      <c r="W21">
        <v>1510401827</v>
      </c>
    </row>
    <row r="22" spans="1:23" x14ac:dyDescent="0.2">
      <c r="A22">
        <f>Source!A120</f>
        <v>4</v>
      </c>
      <c r="B22">
        <v>120</v>
      </c>
      <c r="G22" t="str">
        <f>Source!G120</f>
        <v xml:space="preserve">Раздел 11. Замена\устройство бортового камня садового(для оснований площадок детских, спортивных, воркаут) </v>
      </c>
    </row>
    <row r="23" spans="1:23" x14ac:dyDescent="0.2">
      <c r="A23">
        <f>Source!A130</f>
        <v>17</v>
      </c>
      <c r="C23">
        <v>3</v>
      </c>
      <c r="D23">
        <f>Source!BI130</f>
        <v>1</v>
      </c>
      <c r="E23">
        <f>Source!FS130</f>
        <v>0</v>
      </c>
      <c r="F23" t="str">
        <f>Source!F130</f>
        <v>Коммерческое предложение</v>
      </c>
      <c r="G23" t="str">
        <f>Source!G130</f>
        <v>Стоимость приемки отходов строительства и сноса (боя кирпичной кладки бетонных и железобетонных изделий, отходов бетона и железобетона, асфальтобетона в кусковой форме) для переработки дробильными комплексами (Базисная стоимость: 150,61= [180,73/1,2]</v>
      </c>
      <c r="H23" t="str">
        <f>Source!H130</f>
        <v>т</v>
      </c>
      <c r="I23">
        <f>Source!I130</f>
        <v>92.943359999999998</v>
      </c>
      <c r="J23">
        <v>1</v>
      </c>
      <c r="K23">
        <f>Source!AC130</f>
        <v>150.61000000000001</v>
      </c>
      <c r="M23">
        <f>ROUND(K23*I23, 2)</f>
        <v>13998.2</v>
      </c>
      <c r="N23">
        <f>Source!AC130*IF(Source!BC130&lt;&gt; 0, Source!BC130, 1)</f>
        <v>150.61000000000001</v>
      </c>
      <c r="O23">
        <f>ROUND(N23*I23, 2)</f>
        <v>13998.2</v>
      </c>
      <c r="P23">
        <f>Source!AE130</f>
        <v>0</v>
      </c>
      <c r="R23">
        <f>ROUND(P23*I23, 2)</f>
        <v>0</v>
      </c>
      <c r="S23">
        <f>Source!AE130*IF(Source!BS130&lt;&gt; 0, Source!BS130, 1)</f>
        <v>0</v>
      </c>
      <c r="T23">
        <f>ROUND(S23*I23, 2)</f>
        <v>0</v>
      </c>
      <c r="U23">
        <f>Source!GF130</f>
        <v>620836412</v>
      </c>
      <c r="V23">
        <v>-909607440</v>
      </c>
      <c r="W23">
        <v>-909607440</v>
      </c>
    </row>
    <row r="24" spans="1:23" x14ac:dyDescent="0.2">
      <c r="A24">
        <f>Source!A131</f>
        <v>17</v>
      </c>
      <c r="C24">
        <v>3</v>
      </c>
      <c r="D24">
        <v>0</v>
      </c>
      <c r="E24">
        <f>SmtRes!AV75</f>
        <v>0</v>
      </c>
      <c r="F24" t="str">
        <f>SmtRes!I75</f>
        <v>21.1-25-13</v>
      </c>
      <c r="G24" t="str">
        <f>SmtRes!K75</f>
        <v>Вода</v>
      </c>
      <c r="H24" t="str">
        <f>SmtRes!O75</f>
        <v>м3</v>
      </c>
      <c r="I24">
        <f>SmtRes!Y75*Source!I131</f>
        <v>0.32250000000000001</v>
      </c>
      <c r="J24">
        <f>SmtRes!AO75</f>
        <v>1</v>
      </c>
      <c r="K24">
        <f>SmtRes!AE75</f>
        <v>35.25</v>
      </c>
      <c r="L24">
        <f>SmtRes!DB75</f>
        <v>176.25</v>
      </c>
      <c r="M24">
        <f>ROUND(ROUND(L24*Source!I131, 6)*1, 2)</f>
        <v>11.37</v>
      </c>
      <c r="N24">
        <f>SmtRes!AA75</f>
        <v>35.25</v>
      </c>
      <c r="O24">
        <f>ROUND(ROUND(L24*Source!I131, 6)*SmtRes!DA75, 2)</f>
        <v>11.37</v>
      </c>
      <c r="P24">
        <f>SmtRes!AG75</f>
        <v>0</v>
      </c>
      <c r="Q24">
        <f>SmtRes!DC75</f>
        <v>0</v>
      </c>
      <c r="R24">
        <f>ROUND(ROUND(Q24*Source!I131, 6)*1, 2)</f>
        <v>0</v>
      </c>
      <c r="S24">
        <f>SmtRes!AC75</f>
        <v>0</v>
      </c>
      <c r="T24">
        <f>ROUND(ROUND(Q24*Source!I131, 6)*SmtRes!AK75, 2)</f>
        <v>0</v>
      </c>
      <c r="U24">
        <f>SmtRes!X75</f>
        <v>2028445372</v>
      </c>
      <c r="V24">
        <v>1411454429</v>
      </c>
      <c r="W24">
        <v>1411454429</v>
      </c>
    </row>
    <row r="25" spans="1:23" x14ac:dyDescent="0.2">
      <c r="A25">
        <f>Source!A131</f>
        <v>17</v>
      </c>
      <c r="C25">
        <v>3</v>
      </c>
      <c r="D25">
        <v>0</v>
      </c>
      <c r="E25">
        <f>SmtRes!AV74</f>
        <v>0</v>
      </c>
      <c r="F25" t="str">
        <f>SmtRes!I74</f>
        <v>21.1-12-10</v>
      </c>
      <c r="G25" t="str">
        <f>SmtRes!K74</f>
        <v>Песок для дорожных работ, рядовой</v>
      </c>
      <c r="H25" t="str">
        <f>SmtRes!O74</f>
        <v>м3</v>
      </c>
      <c r="I25">
        <f>SmtRes!Y74*Source!I131</f>
        <v>7.0950000000000006</v>
      </c>
      <c r="J25">
        <f>SmtRes!AO74</f>
        <v>1</v>
      </c>
      <c r="K25">
        <f>SmtRes!AE74</f>
        <v>590.78</v>
      </c>
      <c r="L25">
        <f>SmtRes!DB74</f>
        <v>64985.8</v>
      </c>
      <c r="M25">
        <f>ROUND(ROUND(L25*Source!I131, 6)*1, 2)</f>
        <v>4191.58</v>
      </c>
      <c r="N25">
        <f>SmtRes!AA74</f>
        <v>590.78</v>
      </c>
      <c r="O25">
        <f>ROUND(ROUND(L25*Source!I131, 6)*SmtRes!DA74, 2)</f>
        <v>4191.58</v>
      </c>
      <c r="P25">
        <f>SmtRes!AG74</f>
        <v>0</v>
      </c>
      <c r="Q25">
        <f>SmtRes!DC74</f>
        <v>0</v>
      </c>
      <c r="R25">
        <f>ROUND(ROUND(Q25*Source!I131, 6)*1, 2)</f>
        <v>0</v>
      </c>
      <c r="S25">
        <f>SmtRes!AC74</f>
        <v>0</v>
      </c>
      <c r="T25">
        <f>ROUND(ROUND(Q25*Source!I131, 6)*SmtRes!AK74, 2)</f>
        <v>0</v>
      </c>
      <c r="U25">
        <f>SmtRes!X74</f>
        <v>-840107338</v>
      </c>
      <c r="V25">
        <v>1585412624</v>
      </c>
      <c r="W25">
        <v>1585412624</v>
      </c>
    </row>
    <row r="26" spans="1:23" x14ac:dyDescent="0.2">
      <c r="A26">
        <f>Source!A132</f>
        <v>17</v>
      </c>
      <c r="C26">
        <v>3</v>
      </c>
      <c r="D26">
        <v>0</v>
      </c>
      <c r="E26">
        <f>SmtRes!AV80</f>
        <v>0</v>
      </c>
      <c r="F26" t="str">
        <f>SmtRes!I80</f>
        <v>21.5-3-12</v>
      </c>
      <c r="G26" t="str">
        <f>SmtRes!K80</f>
        <v>Камни бетонные бортовые, марка БР60.20.8</v>
      </c>
      <c r="H26" t="str">
        <f>SmtRes!O80</f>
        <v>м3</v>
      </c>
      <c r="I26">
        <f>SmtRes!Y80*Source!I132</f>
        <v>8.2560000000000002</v>
      </c>
      <c r="J26">
        <f>SmtRes!AO80</f>
        <v>1</v>
      </c>
      <c r="K26">
        <f>SmtRes!AE80</f>
        <v>9014.9</v>
      </c>
      <c r="L26">
        <f>SmtRes!DB80</f>
        <v>14423.84</v>
      </c>
      <c r="M26">
        <f>ROUND(ROUND(L26*Source!I132, 6)*1, 2)</f>
        <v>74427.009999999995</v>
      </c>
      <c r="N26">
        <f>SmtRes!AA80</f>
        <v>9014.9</v>
      </c>
      <c r="O26">
        <f>ROUND(ROUND(L26*Source!I132, 6)*SmtRes!DA80, 2)</f>
        <v>74427.009999999995</v>
      </c>
      <c r="P26">
        <f>SmtRes!AG80</f>
        <v>0</v>
      </c>
      <c r="Q26">
        <f>SmtRes!DC80</f>
        <v>0</v>
      </c>
      <c r="R26">
        <f>ROUND(ROUND(Q26*Source!I132, 6)*1, 2)</f>
        <v>0</v>
      </c>
      <c r="S26">
        <f>SmtRes!AC80</f>
        <v>0</v>
      </c>
      <c r="T26">
        <f>ROUND(ROUND(Q26*Source!I132, 6)*SmtRes!AK80, 2)</f>
        <v>0</v>
      </c>
      <c r="U26">
        <f>SmtRes!X80</f>
        <v>858864401</v>
      </c>
      <c r="V26">
        <v>-1801759247</v>
      </c>
      <c r="W26">
        <v>-1801759247</v>
      </c>
    </row>
    <row r="27" spans="1:23" x14ac:dyDescent="0.2">
      <c r="A27">
        <f>Source!A132</f>
        <v>17</v>
      </c>
      <c r="C27">
        <v>3</v>
      </c>
      <c r="D27">
        <v>0</v>
      </c>
      <c r="E27">
        <f>SmtRes!AV79</f>
        <v>0</v>
      </c>
      <c r="F27" t="str">
        <f>SmtRes!I79</f>
        <v>21.3-2-15</v>
      </c>
      <c r="G27" t="str">
        <f>SmtRes!K79</f>
        <v>Растворы цементные, марка 100</v>
      </c>
      <c r="H27" t="str">
        <f>SmtRes!O79</f>
        <v>м3</v>
      </c>
      <c r="I27">
        <f>SmtRes!Y79*Source!I132</f>
        <v>0.1032</v>
      </c>
      <c r="J27">
        <f>SmtRes!AO79</f>
        <v>1</v>
      </c>
      <c r="K27">
        <f>SmtRes!AE79</f>
        <v>3392.59</v>
      </c>
      <c r="L27">
        <f>SmtRes!DB79</f>
        <v>67.849999999999994</v>
      </c>
      <c r="M27">
        <f>ROUND(ROUND(L27*Source!I132, 6)*1, 2)</f>
        <v>350.11</v>
      </c>
      <c r="N27">
        <f>SmtRes!AA79</f>
        <v>3392.59</v>
      </c>
      <c r="O27">
        <f>ROUND(ROUND(L27*Source!I132, 6)*SmtRes!DA79, 2)</f>
        <v>350.11</v>
      </c>
      <c r="P27">
        <f>SmtRes!AG79</f>
        <v>0</v>
      </c>
      <c r="Q27">
        <f>SmtRes!DC79</f>
        <v>0</v>
      </c>
      <c r="R27">
        <f>ROUND(ROUND(Q27*Source!I132, 6)*1, 2)</f>
        <v>0</v>
      </c>
      <c r="S27">
        <f>SmtRes!AC79</f>
        <v>0</v>
      </c>
      <c r="T27">
        <f>ROUND(ROUND(Q27*Source!I132, 6)*SmtRes!AK79, 2)</f>
        <v>0</v>
      </c>
      <c r="U27">
        <f>SmtRes!X79</f>
        <v>253260963</v>
      </c>
      <c r="V27">
        <v>1066234070</v>
      </c>
      <c r="W27">
        <v>1066234070</v>
      </c>
    </row>
    <row r="28" spans="1:23" x14ac:dyDescent="0.2">
      <c r="A28">
        <f>Source!A132</f>
        <v>17</v>
      </c>
      <c r="C28">
        <v>3</v>
      </c>
      <c r="D28">
        <v>0</v>
      </c>
      <c r="E28">
        <f>SmtRes!AV78</f>
        <v>0</v>
      </c>
      <c r="F28" t="str">
        <f>SmtRes!I78</f>
        <v>21.3-1-69</v>
      </c>
      <c r="G28" t="str">
        <f>SmtRes!K78</f>
        <v>Смеси бетонные, БСГ, тяжелого бетона на гранитном щебне, класс прочности: В15 (М200); П3, фракция 5-20, F50-100, W0-2</v>
      </c>
      <c r="H28" t="str">
        <f>SmtRes!O78</f>
        <v>м3</v>
      </c>
      <c r="I28">
        <f>SmtRes!Y78*Source!I132</f>
        <v>24.768000000000001</v>
      </c>
      <c r="J28">
        <f>SmtRes!AO78</f>
        <v>1</v>
      </c>
      <c r="K28">
        <f>SmtRes!AE78</f>
        <v>3714.73</v>
      </c>
      <c r="L28">
        <f>SmtRes!DB78</f>
        <v>17830.7</v>
      </c>
      <c r="M28">
        <f>ROUND(ROUND(L28*Source!I132, 6)*1, 2)</f>
        <v>92006.41</v>
      </c>
      <c r="N28">
        <f>SmtRes!AA78</f>
        <v>3714.73</v>
      </c>
      <c r="O28">
        <f>ROUND(ROUND(L28*Source!I132, 6)*SmtRes!DA78, 2)</f>
        <v>92006.41</v>
      </c>
      <c r="P28">
        <f>SmtRes!AG78</f>
        <v>0</v>
      </c>
      <c r="Q28">
        <f>SmtRes!DC78</f>
        <v>0</v>
      </c>
      <c r="R28">
        <f>ROUND(ROUND(Q28*Source!I132, 6)*1, 2)</f>
        <v>0</v>
      </c>
      <c r="S28">
        <f>SmtRes!AC78</f>
        <v>0</v>
      </c>
      <c r="T28">
        <f>ROUND(ROUND(Q28*Source!I132, 6)*SmtRes!AK78, 2)</f>
        <v>0</v>
      </c>
      <c r="U28">
        <f>SmtRes!X78</f>
        <v>-697630842</v>
      </c>
      <c r="V28">
        <v>-887866689</v>
      </c>
      <c r="W28">
        <v>-887866689</v>
      </c>
    </row>
    <row r="29" spans="1:23" x14ac:dyDescent="0.2">
      <c r="A29">
        <f>Source!A166</f>
        <v>4</v>
      </c>
      <c r="B29">
        <v>166</v>
      </c>
      <c r="G29" t="str">
        <f>Source!G166</f>
        <v>Раздел 20.2 Ремонт газона (посевной) 10см</v>
      </c>
    </row>
    <row r="30" spans="1:23" x14ac:dyDescent="0.2">
      <c r="A30">
        <f>Source!A175</f>
        <v>17</v>
      </c>
      <c r="C30">
        <v>3</v>
      </c>
      <c r="D30">
        <f>Source!BI175</f>
        <v>1</v>
      </c>
      <c r="E30">
        <f>Source!FS175</f>
        <v>0</v>
      </c>
      <c r="F30" t="str">
        <f>Source!F175</f>
        <v>Коммерческое предложение</v>
      </c>
      <c r="G30" t="str">
        <f>Source!G175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H30" t="str">
        <f>Source!H175</f>
        <v/>
      </c>
      <c r="I30">
        <f>Source!I175</f>
        <v>79.8</v>
      </c>
      <c r="J30">
        <v>1</v>
      </c>
      <c r="K30">
        <f>Source!AC175</f>
        <v>100.3</v>
      </c>
      <c r="M30">
        <f>ROUND(K30*I30, 2)</f>
        <v>8003.94</v>
      </c>
      <c r="N30">
        <f>Source!AC175*IF(Source!BC175&lt;&gt; 0, Source!BC175, 1)</f>
        <v>100.3</v>
      </c>
      <c r="O30">
        <f>ROUND(N30*I30, 2)</f>
        <v>8003.94</v>
      </c>
      <c r="P30">
        <f>Source!AE175</f>
        <v>0</v>
      </c>
      <c r="R30">
        <f>ROUND(P30*I30, 2)</f>
        <v>0</v>
      </c>
      <c r="S30">
        <f>Source!AE175*IF(Source!BS175&lt;&gt; 0, Source!BS175, 1)</f>
        <v>0</v>
      </c>
      <c r="T30">
        <f>ROUND(S30*I30, 2)</f>
        <v>0</v>
      </c>
      <c r="U30">
        <f>Source!GF175</f>
        <v>572566054</v>
      </c>
      <c r="V30">
        <v>179020775</v>
      </c>
      <c r="W30">
        <v>179020775</v>
      </c>
    </row>
    <row r="31" spans="1:23" x14ac:dyDescent="0.2">
      <c r="A31">
        <f>Source!A176</f>
        <v>17</v>
      </c>
      <c r="C31">
        <v>3</v>
      </c>
      <c r="D31">
        <v>0</v>
      </c>
      <c r="E31">
        <f>SmtRes!AV93</f>
        <v>0</v>
      </c>
      <c r="F31" t="str">
        <f>SmtRes!I93</f>
        <v>21.4-6-5</v>
      </c>
      <c r="G31" t="str">
        <f>SmtRes!K93</f>
        <v>Земля растительная</v>
      </c>
      <c r="H31" t="str">
        <f>SmtRes!O93</f>
        <v>м3</v>
      </c>
      <c r="I31">
        <f>SmtRes!Y93*Source!I176</f>
        <v>64.125</v>
      </c>
      <c r="J31">
        <f>SmtRes!AO93</f>
        <v>1</v>
      </c>
      <c r="K31">
        <f>SmtRes!AE93</f>
        <v>753.67</v>
      </c>
      <c r="L31">
        <f>SmtRes!DB93</f>
        <v>11305.05</v>
      </c>
      <c r="M31">
        <f>ROUND(ROUND(L31*Source!I176, 6)*1, 2)</f>
        <v>48329.09</v>
      </c>
      <c r="N31">
        <f>SmtRes!AA93</f>
        <v>753.67</v>
      </c>
      <c r="O31">
        <f>ROUND(ROUND(L31*Source!I176, 6)*SmtRes!DA93, 2)</f>
        <v>48329.09</v>
      </c>
      <c r="P31">
        <f>SmtRes!AG93</f>
        <v>0</v>
      </c>
      <c r="Q31">
        <f>SmtRes!DC93</f>
        <v>0</v>
      </c>
      <c r="R31">
        <f>ROUND(ROUND(Q31*Source!I176, 6)*1, 2)</f>
        <v>0</v>
      </c>
      <c r="S31">
        <f>SmtRes!AC93</f>
        <v>0</v>
      </c>
      <c r="T31">
        <f>ROUND(ROUND(Q31*Source!I176, 6)*SmtRes!AK93, 2)</f>
        <v>0</v>
      </c>
      <c r="U31">
        <f>SmtRes!X93</f>
        <v>-1277312656</v>
      </c>
      <c r="V31">
        <v>1365262818</v>
      </c>
      <c r="W31">
        <v>1365262818</v>
      </c>
    </row>
    <row r="32" spans="1:23" x14ac:dyDescent="0.2">
      <c r="A32">
        <f>Source!A177</f>
        <v>17</v>
      </c>
      <c r="C32">
        <v>3</v>
      </c>
      <c r="D32">
        <v>0</v>
      </c>
      <c r="E32">
        <f>SmtRes!AV95</f>
        <v>0</v>
      </c>
      <c r="F32" t="str">
        <f>SmtRes!I95</f>
        <v>21.4-6-5</v>
      </c>
      <c r="G32" t="str">
        <f>SmtRes!K95</f>
        <v>Земля растительная</v>
      </c>
      <c r="H32" t="str">
        <f>SmtRes!O95</f>
        <v>м3</v>
      </c>
      <c r="I32">
        <f>SmtRes!Y95*Source!I177</f>
        <v>21.375</v>
      </c>
      <c r="J32">
        <f>SmtRes!AO95</f>
        <v>1</v>
      </c>
      <c r="K32">
        <f>SmtRes!AE95</f>
        <v>753.67</v>
      </c>
      <c r="L32">
        <f>SmtRes!DB95</f>
        <v>11305.05</v>
      </c>
      <c r="M32">
        <f>ROUND(ROUND(L32*Source!I177, 6)*1, 2)</f>
        <v>16109.7</v>
      </c>
      <c r="N32">
        <f>SmtRes!AA95</f>
        <v>753.67</v>
      </c>
      <c r="O32">
        <f>ROUND(ROUND(L32*Source!I177, 6)*SmtRes!DA95, 2)</f>
        <v>16109.7</v>
      </c>
      <c r="P32">
        <f>SmtRes!AG95</f>
        <v>0</v>
      </c>
      <c r="Q32">
        <f>SmtRes!DC95</f>
        <v>0</v>
      </c>
      <c r="R32">
        <f>ROUND(ROUND(Q32*Source!I177, 6)*1, 2)</f>
        <v>0</v>
      </c>
      <c r="S32">
        <f>SmtRes!AC95</f>
        <v>0</v>
      </c>
      <c r="T32">
        <f>ROUND(ROUND(Q32*Source!I177, 6)*SmtRes!AK95, 2)</f>
        <v>0</v>
      </c>
      <c r="U32">
        <f>SmtRes!X95</f>
        <v>-1277312656</v>
      </c>
      <c r="V32">
        <v>1365262818</v>
      </c>
      <c r="W32">
        <v>1365262818</v>
      </c>
    </row>
    <row r="33" spans="1:23" x14ac:dyDescent="0.2">
      <c r="A33">
        <f>Source!A178</f>
        <v>17</v>
      </c>
      <c r="C33">
        <v>3</v>
      </c>
      <c r="D33">
        <v>0</v>
      </c>
      <c r="E33">
        <f>SmtRes!AV97</f>
        <v>0</v>
      </c>
      <c r="F33" t="str">
        <f>SmtRes!I97</f>
        <v>21.4-6-5</v>
      </c>
      <c r="G33" t="str">
        <f>SmtRes!K97</f>
        <v>Земля растительная</v>
      </c>
      <c r="H33" t="str">
        <f>SmtRes!O97</f>
        <v>м3</v>
      </c>
      <c r="I33">
        <f>SmtRes!Y97*Source!I178</f>
        <v>-28.5</v>
      </c>
      <c r="J33">
        <f>SmtRes!AO97</f>
        <v>1</v>
      </c>
      <c r="K33">
        <f>SmtRes!AE97</f>
        <v>753.67</v>
      </c>
      <c r="L33">
        <f>SmtRes!DB97</f>
        <v>3768.35</v>
      </c>
      <c r="M33">
        <f>ROUND(ROUND(L33*Source!I178, 6)*1, 2)</f>
        <v>-21479.599999999999</v>
      </c>
      <c r="N33">
        <f>SmtRes!AA97</f>
        <v>753.67</v>
      </c>
      <c r="O33">
        <f>ROUND(ROUND(L33*Source!I178, 6)*SmtRes!DA97, 2)</f>
        <v>-21479.599999999999</v>
      </c>
      <c r="P33">
        <f>SmtRes!AG97</f>
        <v>0</v>
      </c>
      <c r="Q33">
        <f>SmtRes!DC97</f>
        <v>0</v>
      </c>
      <c r="R33">
        <f>ROUND(ROUND(Q33*Source!I178, 6)*1, 2)</f>
        <v>0</v>
      </c>
      <c r="S33">
        <f>SmtRes!AC97</f>
        <v>0</v>
      </c>
      <c r="T33">
        <f>ROUND(ROUND(Q33*Source!I178, 6)*SmtRes!AK97, 2)</f>
        <v>0</v>
      </c>
      <c r="U33">
        <f>SmtRes!X97</f>
        <v>-1277312656</v>
      </c>
      <c r="V33">
        <v>1365262818</v>
      </c>
      <c r="W33">
        <v>1365262818</v>
      </c>
    </row>
    <row r="34" spans="1:23" x14ac:dyDescent="0.2">
      <c r="A34">
        <f>Source!A179</f>
        <v>17</v>
      </c>
      <c r="C34">
        <v>3</v>
      </c>
      <c r="D34">
        <v>0</v>
      </c>
      <c r="E34">
        <f>SmtRes!AV100</f>
        <v>0</v>
      </c>
      <c r="F34" t="str">
        <f>SmtRes!I100</f>
        <v>21.4-6-11</v>
      </c>
      <c r="G34" t="str">
        <f>SmtRes!K100</f>
        <v>Семена (смесь универсальная) газонных трав</v>
      </c>
      <c r="H34" t="str">
        <f>SmtRes!O100</f>
        <v>кг</v>
      </c>
      <c r="I34">
        <f>SmtRes!Y100*Source!I179</f>
        <v>22.8</v>
      </c>
      <c r="J34">
        <f>SmtRes!AO100</f>
        <v>1</v>
      </c>
      <c r="K34">
        <f>SmtRes!AE100</f>
        <v>303.08999999999997</v>
      </c>
      <c r="L34">
        <f>SmtRes!DB100</f>
        <v>1212.3599999999999</v>
      </c>
      <c r="M34">
        <f>ROUND(ROUND(L34*Source!I179, 6)*1, 2)</f>
        <v>6910.45</v>
      </c>
      <c r="N34">
        <f>SmtRes!AA100</f>
        <v>303.08999999999997</v>
      </c>
      <c r="O34">
        <f>ROUND(ROUND(L34*Source!I179, 6)*SmtRes!DA100, 2)</f>
        <v>6910.45</v>
      </c>
      <c r="P34">
        <f>SmtRes!AG100</f>
        <v>0</v>
      </c>
      <c r="Q34">
        <f>SmtRes!DC100</f>
        <v>0</v>
      </c>
      <c r="R34">
        <f>ROUND(ROUND(Q34*Source!I179, 6)*1, 2)</f>
        <v>0</v>
      </c>
      <c r="S34">
        <f>SmtRes!AC100</f>
        <v>0</v>
      </c>
      <c r="T34">
        <f>ROUND(ROUND(Q34*Source!I179, 6)*SmtRes!AK100, 2)</f>
        <v>0</v>
      </c>
      <c r="U34">
        <f>SmtRes!X100</f>
        <v>1601918108</v>
      </c>
      <c r="V34">
        <v>-1954691867</v>
      </c>
      <c r="W34">
        <v>-1954691867</v>
      </c>
    </row>
    <row r="35" spans="1:23" x14ac:dyDescent="0.2">
      <c r="A35">
        <f>Source!A179</f>
        <v>17</v>
      </c>
      <c r="C35">
        <v>3</v>
      </c>
      <c r="D35">
        <v>0</v>
      </c>
      <c r="E35">
        <f>SmtRes!AV99</f>
        <v>0</v>
      </c>
      <c r="F35" t="str">
        <f>SmtRes!I99</f>
        <v>21.1-25-13</v>
      </c>
      <c r="G35" t="str">
        <f>SmtRes!K99</f>
        <v>Вода</v>
      </c>
      <c r="H35" t="str">
        <f>SmtRes!O99</f>
        <v>м3</v>
      </c>
      <c r="I35">
        <f>SmtRes!Y99*Source!I179</f>
        <v>57</v>
      </c>
      <c r="J35">
        <f>SmtRes!AO99</f>
        <v>1</v>
      </c>
      <c r="K35">
        <f>SmtRes!AE99</f>
        <v>35.25</v>
      </c>
      <c r="L35">
        <f>SmtRes!DB99</f>
        <v>352.5</v>
      </c>
      <c r="M35">
        <f>ROUND(ROUND(L35*Source!I179, 6)*1, 2)</f>
        <v>2009.25</v>
      </c>
      <c r="N35">
        <f>SmtRes!AA99</f>
        <v>35.25</v>
      </c>
      <c r="O35">
        <f>ROUND(ROUND(L35*Source!I179, 6)*SmtRes!DA99, 2)</f>
        <v>2009.25</v>
      </c>
      <c r="P35">
        <f>SmtRes!AG99</f>
        <v>0</v>
      </c>
      <c r="Q35">
        <f>SmtRes!DC99</f>
        <v>0</v>
      </c>
      <c r="R35">
        <f>ROUND(ROUND(Q35*Source!I179, 6)*1, 2)</f>
        <v>0</v>
      </c>
      <c r="S35">
        <f>SmtRes!AC99</f>
        <v>0</v>
      </c>
      <c r="T35">
        <f>ROUND(ROUND(Q35*Source!I179, 6)*SmtRes!AK99, 2)</f>
        <v>0</v>
      </c>
      <c r="U35">
        <f>SmtRes!X99</f>
        <v>2028445372</v>
      </c>
      <c r="V35">
        <v>1411454429</v>
      </c>
      <c r="W35">
        <v>1411454429</v>
      </c>
    </row>
    <row r="36" spans="1:23" x14ac:dyDescent="0.2">
      <c r="A36">
        <f>Source!A213</f>
        <v>4</v>
      </c>
      <c r="B36">
        <v>213</v>
      </c>
      <c r="G36" t="str">
        <f>Source!G213</f>
        <v>22.1 Посадка деревьев с комо 0,8х0,6м, высотой от 3м - 8 шт.</v>
      </c>
    </row>
    <row r="37" spans="1:23" x14ac:dyDescent="0.2">
      <c r="A37">
        <f>Source!A217</f>
        <v>17</v>
      </c>
      <c r="C37">
        <v>3</v>
      </c>
      <c r="D37">
        <v>0</v>
      </c>
      <c r="E37">
        <f>SmtRes!AV104</f>
        <v>0</v>
      </c>
      <c r="F37" t="str">
        <f>SmtRes!I104</f>
        <v>21.4-6-5</v>
      </c>
      <c r="G37" t="str">
        <f>SmtRes!K104</f>
        <v>Земля растительная</v>
      </c>
      <c r="H37" t="str">
        <f>SmtRes!O104</f>
        <v>м3</v>
      </c>
      <c r="I37">
        <f>SmtRes!Y104*Source!I217</f>
        <v>1.9840000000000002</v>
      </c>
      <c r="J37">
        <f>SmtRes!AO104</f>
        <v>1</v>
      </c>
      <c r="K37">
        <f>SmtRes!AE104</f>
        <v>753.67</v>
      </c>
      <c r="L37">
        <f>SmtRes!DB104</f>
        <v>4672.75</v>
      </c>
      <c r="M37">
        <f>ROUND(ROUND(L37*Source!I217, 6)*1, 2)</f>
        <v>1495.28</v>
      </c>
      <c r="N37">
        <f>SmtRes!AA104</f>
        <v>753.67</v>
      </c>
      <c r="O37">
        <f>ROUND(ROUND(L37*Source!I217, 6)*SmtRes!DA104, 2)</f>
        <v>1495.28</v>
      </c>
      <c r="P37">
        <f>SmtRes!AG104</f>
        <v>0</v>
      </c>
      <c r="Q37">
        <f>SmtRes!DC104</f>
        <v>0</v>
      </c>
      <c r="R37">
        <f>ROUND(ROUND(Q37*Source!I217, 6)*1, 2)</f>
        <v>0</v>
      </c>
      <c r="S37">
        <f>SmtRes!AC104</f>
        <v>0</v>
      </c>
      <c r="T37">
        <f>ROUND(ROUND(Q37*Source!I217, 6)*SmtRes!AK104, 2)</f>
        <v>0</v>
      </c>
      <c r="U37">
        <f>SmtRes!X104</f>
        <v>-1277312656</v>
      </c>
      <c r="V37">
        <v>1365262818</v>
      </c>
      <c r="W37">
        <v>1365262818</v>
      </c>
    </row>
    <row r="38" spans="1:23" x14ac:dyDescent="0.2">
      <c r="A38">
        <f>Source!A217</f>
        <v>17</v>
      </c>
      <c r="C38">
        <v>3</v>
      </c>
      <c r="D38">
        <v>0</v>
      </c>
      <c r="E38">
        <f>SmtRes!AV103</f>
        <v>0</v>
      </c>
      <c r="F38" t="str">
        <f>SmtRes!I103</f>
        <v>21.4-6-15</v>
      </c>
      <c r="G38" t="str">
        <f>SmtRes!K103</f>
        <v>Торф</v>
      </c>
      <c r="H38" t="str">
        <f>SmtRes!O103</f>
        <v>м3</v>
      </c>
      <c r="I38">
        <f>SmtRes!Y103*Source!I217</f>
        <v>0.67200000000000004</v>
      </c>
      <c r="J38">
        <f>SmtRes!AO103</f>
        <v>1</v>
      </c>
      <c r="K38">
        <f>SmtRes!AE103</f>
        <v>810.33</v>
      </c>
      <c r="L38">
        <f>SmtRes!DB103</f>
        <v>1701.69</v>
      </c>
      <c r="M38">
        <f>ROUND(ROUND(L38*Source!I217, 6)*1, 2)</f>
        <v>544.54</v>
      </c>
      <c r="N38">
        <f>SmtRes!AA103</f>
        <v>810.33</v>
      </c>
      <c r="O38">
        <f>ROUND(ROUND(L38*Source!I217, 6)*SmtRes!DA103, 2)</f>
        <v>544.54</v>
      </c>
      <c r="P38">
        <f>SmtRes!AG103</f>
        <v>0</v>
      </c>
      <c r="Q38">
        <f>SmtRes!DC103</f>
        <v>0</v>
      </c>
      <c r="R38">
        <f>ROUND(ROUND(Q38*Source!I217, 6)*1, 2)</f>
        <v>0</v>
      </c>
      <c r="S38">
        <f>SmtRes!AC103</f>
        <v>0</v>
      </c>
      <c r="T38">
        <f>ROUND(ROUND(Q38*Source!I217, 6)*SmtRes!AK103, 2)</f>
        <v>0</v>
      </c>
      <c r="U38">
        <f>SmtRes!X103</f>
        <v>1876816084</v>
      </c>
      <c r="V38">
        <v>-1598244433</v>
      </c>
      <c r="W38">
        <v>-1598244433</v>
      </c>
    </row>
    <row r="39" spans="1:23" x14ac:dyDescent="0.2">
      <c r="A39">
        <f>Source!A218</f>
        <v>17</v>
      </c>
      <c r="C39">
        <v>3</v>
      </c>
      <c r="D39">
        <v>0</v>
      </c>
      <c r="E39">
        <f>SmtRes!AV107</f>
        <v>0</v>
      </c>
      <c r="F39" t="str">
        <f>SmtRes!I107</f>
        <v>21.4-6-5</v>
      </c>
      <c r="G39" t="str">
        <f>SmtRes!K107</f>
        <v>Земля растительная</v>
      </c>
      <c r="H39" t="str">
        <f>SmtRes!O107</f>
        <v>м3</v>
      </c>
      <c r="I39">
        <f>SmtRes!Y107*Source!I218</f>
        <v>2.976</v>
      </c>
      <c r="J39">
        <f>SmtRes!AO107</f>
        <v>1</v>
      </c>
      <c r="K39">
        <f>SmtRes!AE107</f>
        <v>753.67</v>
      </c>
      <c r="L39">
        <f>SmtRes!DB107</f>
        <v>4672.75</v>
      </c>
      <c r="M39">
        <f>ROUND(ROUND(L39*Source!I218, 6)*1, 2)</f>
        <v>2242.92</v>
      </c>
      <c r="N39">
        <f>SmtRes!AA107</f>
        <v>753.67</v>
      </c>
      <c r="O39">
        <f>ROUND(ROUND(L39*Source!I218, 6)*SmtRes!DA107, 2)</f>
        <v>2242.92</v>
      </c>
      <c r="P39">
        <f>SmtRes!AG107</f>
        <v>0</v>
      </c>
      <c r="Q39">
        <f>SmtRes!DC107</f>
        <v>0</v>
      </c>
      <c r="R39">
        <f>ROUND(ROUND(Q39*Source!I218, 6)*1, 2)</f>
        <v>0</v>
      </c>
      <c r="S39">
        <f>SmtRes!AC107</f>
        <v>0</v>
      </c>
      <c r="T39">
        <f>ROUND(ROUND(Q39*Source!I218, 6)*SmtRes!AK107, 2)</f>
        <v>0</v>
      </c>
      <c r="U39">
        <f>SmtRes!X107</f>
        <v>-1277312656</v>
      </c>
      <c r="V39">
        <v>1365262818</v>
      </c>
      <c r="W39">
        <v>1365262818</v>
      </c>
    </row>
    <row r="40" spans="1:23" x14ac:dyDescent="0.2">
      <c r="A40">
        <f>Source!A218</f>
        <v>17</v>
      </c>
      <c r="C40">
        <v>3</v>
      </c>
      <c r="D40">
        <v>0</v>
      </c>
      <c r="E40">
        <f>SmtRes!AV106</f>
        <v>0</v>
      </c>
      <c r="F40" t="str">
        <f>SmtRes!I106</f>
        <v>21.4-6-15</v>
      </c>
      <c r="G40" t="str">
        <f>SmtRes!K106</f>
        <v>Торф</v>
      </c>
      <c r="H40" t="str">
        <f>SmtRes!O106</f>
        <v>м3</v>
      </c>
      <c r="I40">
        <f>SmtRes!Y106*Source!I218</f>
        <v>1.008</v>
      </c>
      <c r="J40">
        <f>SmtRes!AO106</f>
        <v>1</v>
      </c>
      <c r="K40">
        <f>SmtRes!AE106</f>
        <v>810.33</v>
      </c>
      <c r="L40">
        <f>SmtRes!DB106</f>
        <v>1701.69</v>
      </c>
      <c r="M40">
        <f>ROUND(ROUND(L40*Source!I218, 6)*1, 2)</f>
        <v>816.81</v>
      </c>
      <c r="N40">
        <f>SmtRes!AA106</f>
        <v>810.33</v>
      </c>
      <c r="O40">
        <f>ROUND(ROUND(L40*Source!I218, 6)*SmtRes!DA106, 2)</f>
        <v>816.81</v>
      </c>
      <c r="P40">
        <f>SmtRes!AG106</f>
        <v>0</v>
      </c>
      <c r="Q40">
        <f>SmtRes!DC106</f>
        <v>0</v>
      </c>
      <c r="R40">
        <f>ROUND(ROUND(Q40*Source!I218, 6)*1, 2)</f>
        <v>0</v>
      </c>
      <c r="S40">
        <f>SmtRes!AC106</f>
        <v>0</v>
      </c>
      <c r="T40">
        <f>ROUND(ROUND(Q40*Source!I218, 6)*SmtRes!AK106, 2)</f>
        <v>0</v>
      </c>
      <c r="U40">
        <f>SmtRes!X106</f>
        <v>1876816084</v>
      </c>
      <c r="V40">
        <v>-1598244433</v>
      </c>
      <c r="W40">
        <v>-1598244433</v>
      </c>
    </row>
    <row r="41" spans="1:23" x14ac:dyDescent="0.2">
      <c r="A41">
        <f>Source!A219</f>
        <v>17</v>
      </c>
      <c r="C41">
        <v>3</v>
      </c>
      <c r="D41">
        <v>0</v>
      </c>
      <c r="E41">
        <f>SmtRes!AV114</f>
        <v>0</v>
      </c>
      <c r="F41" t="str">
        <f>SmtRes!I114</f>
        <v>21.4-6-7</v>
      </c>
      <c r="G41" t="str">
        <f>SmtRes!K114</f>
        <v>Колья деревянные для подвязки деревьев до 2,5м</v>
      </c>
      <c r="H41" t="str">
        <f>SmtRes!O114</f>
        <v>м3</v>
      </c>
      <c r="I41">
        <f>SmtRes!Y114*Source!I219</f>
        <v>0.12672000000000003</v>
      </c>
      <c r="J41">
        <f>SmtRes!AO114</f>
        <v>1</v>
      </c>
      <c r="K41">
        <f>SmtRes!AE114</f>
        <v>3467</v>
      </c>
      <c r="L41">
        <f>SmtRes!DB114</f>
        <v>549.16999999999996</v>
      </c>
      <c r="M41">
        <f>ROUND(ROUND(L41*Source!I219, 6)*1, 2)</f>
        <v>439.34</v>
      </c>
      <c r="N41">
        <f>SmtRes!AA114</f>
        <v>3467</v>
      </c>
      <c r="O41">
        <f>ROUND(ROUND(L41*Source!I219, 6)*SmtRes!DA114, 2)</f>
        <v>439.34</v>
      </c>
      <c r="P41">
        <f>SmtRes!AG114</f>
        <v>0</v>
      </c>
      <c r="Q41">
        <f>SmtRes!DC114</f>
        <v>0</v>
      </c>
      <c r="R41">
        <f>ROUND(ROUND(Q41*Source!I219, 6)*1, 2)</f>
        <v>0</v>
      </c>
      <c r="S41">
        <f>SmtRes!AC114</f>
        <v>0</v>
      </c>
      <c r="T41">
        <f>ROUND(ROUND(Q41*Source!I219, 6)*SmtRes!AK114, 2)</f>
        <v>0</v>
      </c>
      <c r="U41">
        <f>SmtRes!X114</f>
        <v>1209349807</v>
      </c>
      <c r="V41">
        <v>-2092237856</v>
      </c>
      <c r="W41">
        <v>-2092237856</v>
      </c>
    </row>
    <row r="42" spans="1:23" x14ac:dyDescent="0.2">
      <c r="A42">
        <f>Source!A219</f>
        <v>17</v>
      </c>
      <c r="C42">
        <v>3</v>
      </c>
      <c r="D42">
        <v>0</v>
      </c>
      <c r="E42">
        <f>SmtRes!AV112</f>
        <v>0</v>
      </c>
      <c r="F42" t="str">
        <f>SmtRes!I112</f>
        <v>21.1-25-13</v>
      </c>
      <c r="G42" t="str">
        <f>SmtRes!K112</f>
        <v>Вода</v>
      </c>
      <c r="H42" t="str">
        <f>SmtRes!O112</f>
        <v>м3</v>
      </c>
      <c r="I42">
        <f>SmtRes!Y112*Source!I219</f>
        <v>2.08</v>
      </c>
      <c r="J42">
        <f>SmtRes!AO112</f>
        <v>1</v>
      </c>
      <c r="K42">
        <f>SmtRes!AE112</f>
        <v>35.25</v>
      </c>
      <c r="L42">
        <f>SmtRes!DB112</f>
        <v>91.65</v>
      </c>
      <c r="M42">
        <f>ROUND(ROUND(L42*Source!I219, 6)*1, 2)</f>
        <v>73.319999999999993</v>
      </c>
      <c r="N42">
        <f>SmtRes!AA112</f>
        <v>35.25</v>
      </c>
      <c r="O42">
        <f>ROUND(ROUND(L42*Source!I219, 6)*SmtRes!DA112, 2)</f>
        <v>73.319999999999993</v>
      </c>
      <c r="P42">
        <f>SmtRes!AG112</f>
        <v>0</v>
      </c>
      <c r="Q42">
        <f>SmtRes!DC112</f>
        <v>0</v>
      </c>
      <c r="R42">
        <f>ROUND(ROUND(Q42*Source!I219, 6)*1, 2)</f>
        <v>0</v>
      </c>
      <c r="S42">
        <f>SmtRes!AC112</f>
        <v>0</v>
      </c>
      <c r="T42">
        <f>ROUND(ROUND(Q42*Source!I219, 6)*SmtRes!AK112, 2)</f>
        <v>0</v>
      </c>
      <c r="U42">
        <f>SmtRes!X112</f>
        <v>2028445372</v>
      </c>
      <c r="V42">
        <v>1411454429</v>
      </c>
      <c r="W42">
        <v>1411454429</v>
      </c>
    </row>
    <row r="43" spans="1:23" x14ac:dyDescent="0.2">
      <c r="A43">
        <f>Source!A219</f>
        <v>17</v>
      </c>
      <c r="C43">
        <v>3</v>
      </c>
      <c r="D43">
        <v>0</v>
      </c>
      <c r="E43">
        <f>SmtRes!AV111</f>
        <v>0</v>
      </c>
      <c r="F43" t="str">
        <f>SmtRes!I111</f>
        <v>21.1-20-54</v>
      </c>
      <c r="G43" t="str">
        <f>SmtRes!K111</f>
        <v>Шпагат пеньковый</v>
      </c>
      <c r="H43" t="str">
        <f>SmtRes!O111</f>
        <v>кг</v>
      </c>
      <c r="I43">
        <f>SmtRes!Y111*Source!I219</f>
        <v>0.24</v>
      </c>
      <c r="J43">
        <f>SmtRes!AO111</f>
        <v>1</v>
      </c>
      <c r="K43">
        <f>SmtRes!AE111</f>
        <v>171.21</v>
      </c>
      <c r="L43">
        <f>SmtRes!DB111</f>
        <v>51.36</v>
      </c>
      <c r="M43">
        <f>ROUND(ROUND(L43*Source!I219, 6)*1, 2)</f>
        <v>41.09</v>
      </c>
      <c r="N43">
        <f>SmtRes!AA111</f>
        <v>171.21</v>
      </c>
      <c r="O43">
        <f>ROUND(ROUND(L43*Source!I219, 6)*SmtRes!DA111, 2)</f>
        <v>41.09</v>
      </c>
      <c r="P43">
        <f>SmtRes!AG111</f>
        <v>0</v>
      </c>
      <c r="Q43">
        <f>SmtRes!DC111</f>
        <v>0</v>
      </c>
      <c r="R43">
        <f>ROUND(ROUND(Q43*Source!I219, 6)*1, 2)</f>
        <v>0</v>
      </c>
      <c r="S43">
        <f>SmtRes!AC111</f>
        <v>0</v>
      </c>
      <c r="T43">
        <f>ROUND(ROUND(Q43*Source!I219, 6)*SmtRes!AK111, 2)</f>
        <v>0</v>
      </c>
      <c r="U43">
        <f>SmtRes!X111</f>
        <v>-569863312</v>
      </c>
      <c r="V43">
        <v>-1880973672</v>
      </c>
      <c r="W43">
        <v>-1880973672</v>
      </c>
    </row>
    <row r="44" spans="1:23" x14ac:dyDescent="0.2">
      <c r="A44">
        <f>Source!A219</f>
        <v>17</v>
      </c>
      <c r="C44">
        <v>3</v>
      </c>
      <c r="D44">
        <v>0</v>
      </c>
      <c r="E44">
        <f>SmtRes!AV110</f>
        <v>0</v>
      </c>
      <c r="F44" t="str">
        <f>SmtRes!I110</f>
        <v>21.1-20-17</v>
      </c>
      <c r="G44" t="str">
        <f>SmtRes!K110</f>
        <v>Мешковина</v>
      </c>
      <c r="H44" t="str">
        <f>SmtRes!O110</f>
        <v>м2</v>
      </c>
      <c r="I44">
        <f>SmtRes!Y110*Source!I219</f>
        <v>1.2000000000000002</v>
      </c>
      <c r="J44">
        <f>SmtRes!AO110</f>
        <v>1</v>
      </c>
      <c r="K44">
        <f>SmtRes!AE110</f>
        <v>91.89</v>
      </c>
      <c r="L44">
        <f>SmtRes!DB110</f>
        <v>137.84</v>
      </c>
      <c r="M44">
        <f>ROUND(ROUND(L44*Source!I219, 6)*1, 2)</f>
        <v>110.27</v>
      </c>
      <c r="N44">
        <f>SmtRes!AA110</f>
        <v>91.89</v>
      </c>
      <c r="O44">
        <f>ROUND(ROUND(L44*Source!I219, 6)*SmtRes!DA110, 2)</f>
        <v>110.27</v>
      </c>
      <c r="P44">
        <f>SmtRes!AG110</f>
        <v>0</v>
      </c>
      <c r="Q44">
        <f>SmtRes!DC110</f>
        <v>0</v>
      </c>
      <c r="R44">
        <f>ROUND(ROUND(Q44*Source!I219, 6)*1, 2)</f>
        <v>0</v>
      </c>
      <c r="S44">
        <f>SmtRes!AC110</f>
        <v>0</v>
      </c>
      <c r="T44">
        <f>ROUND(ROUND(Q44*Source!I219, 6)*SmtRes!AK110, 2)</f>
        <v>0</v>
      </c>
      <c r="U44">
        <f>SmtRes!X110</f>
        <v>-1493859615</v>
      </c>
      <c r="V44">
        <v>-1413124159</v>
      </c>
      <c r="W44">
        <v>-1413124159</v>
      </c>
    </row>
    <row r="45" spans="1:23" x14ac:dyDescent="0.2">
      <c r="A45">
        <f>Source!A220</f>
        <v>18</v>
      </c>
      <c r="C45">
        <v>3</v>
      </c>
      <c r="D45">
        <f>Source!BI220</f>
        <v>4</v>
      </c>
      <c r="E45">
        <f>Source!FS220</f>
        <v>0</v>
      </c>
      <c r="F45" t="str">
        <f>Source!F220</f>
        <v>21.4-1-2</v>
      </c>
      <c r="G45" t="str">
        <f>Source!G220</f>
        <v>Деревья декоративные лиственных пород с комом земли, порода: бархат амурский, вяз, дуб, каштан, клен, липа, орех, ясень, размер кома: диаметр-0,8 м, высота-0,6 м</v>
      </c>
      <c r="H45" t="str">
        <f>Source!H220</f>
        <v>шт.</v>
      </c>
      <c r="I45">
        <f>Source!I220</f>
        <v>8</v>
      </c>
      <c r="J45">
        <v>1</v>
      </c>
      <c r="K45">
        <f>Source!AC220</f>
        <v>2961.58</v>
      </c>
      <c r="M45">
        <f>ROUND(K45*I45, 2)</f>
        <v>23692.639999999999</v>
      </c>
      <c r="N45">
        <f>Source!AC220*IF(Source!BC220&lt;&gt; 0, Source!BC220, 1)</f>
        <v>2961.58</v>
      </c>
      <c r="O45">
        <f>ROUND(N45*I45, 2)</f>
        <v>23692.639999999999</v>
      </c>
      <c r="P45">
        <f>Source!AE220</f>
        <v>0</v>
      </c>
      <c r="R45">
        <f>ROUND(P45*I45, 2)</f>
        <v>0</v>
      </c>
      <c r="S45">
        <f>Source!AE220*IF(Source!BS220&lt;&gt; 0, Source!BS220, 1)</f>
        <v>0</v>
      </c>
      <c r="T45">
        <f>ROUND(S45*I45, 2)</f>
        <v>0</v>
      </c>
      <c r="U45">
        <f>Source!GF220</f>
        <v>-493034466</v>
      </c>
      <c r="V45">
        <v>2009770226</v>
      </c>
      <c r="W45">
        <v>2009770226</v>
      </c>
    </row>
    <row r="46" spans="1:23" x14ac:dyDescent="0.2">
      <c r="A46">
        <f>Source!A251</f>
        <v>4</v>
      </c>
      <c r="B46">
        <v>251</v>
      </c>
      <c r="G46" t="str">
        <f>Source!G251</f>
        <v xml:space="preserve">Раздел 24.1 Устройство покрытия на площадке для игровых видов спорта (1 см - EPDM) </v>
      </c>
    </row>
    <row r="47" spans="1:23" x14ac:dyDescent="0.2">
      <c r="A47">
        <f>Source!A255</f>
        <v>17</v>
      </c>
      <c r="C47">
        <v>3</v>
      </c>
      <c r="D47">
        <v>0</v>
      </c>
      <c r="E47">
        <f>SmtRes!AV125</f>
        <v>0</v>
      </c>
      <c r="F47" t="str">
        <f>SmtRes!I125</f>
        <v>21.1-6-101</v>
      </c>
      <c r="G47" t="str">
        <f>SmtRes!K125</f>
        <v>Пигменты сухие для красок, кислотный желтый</v>
      </c>
      <c r="H47" t="str">
        <f>SmtRes!O125</f>
        <v>т</v>
      </c>
      <c r="I47">
        <f>SmtRes!Y125*Source!I255</f>
        <v>0.73499999999999999</v>
      </c>
      <c r="J47">
        <f>SmtRes!AO125</f>
        <v>1</v>
      </c>
      <c r="K47">
        <f>SmtRes!AE125</f>
        <v>748299.67</v>
      </c>
      <c r="L47">
        <f>SmtRes!DB125</f>
        <v>39285.730000000003</v>
      </c>
      <c r="M47">
        <f>ROUND(ROUND(L47*Source!I255, 6)*1, 2)</f>
        <v>550000.22</v>
      </c>
      <c r="N47">
        <f>SmtRes!AA125</f>
        <v>748299.67</v>
      </c>
      <c r="O47">
        <f>ROUND(ROUND(L47*Source!I255, 6)*SmtRes!DA125, 2)</f>
        <v>550000.22</v>
      </c>
      <c r="P47">
        <f>SmtRes!AG125</f>
        <v>0</v>
      </c>
      <c r="Q47">
        <f>SmtRes!DC125</f>
        <v>0</v>
      </c>
      <c r="R47">
        <f>ROUND(ROUND(Q47*Source!I255, 6)*1, 2)</f>
        <v>0</v>
      </c>
      <c r="S47">
        <f>SmtRes!AC125</f>
        <v>0</v>
      </c>
      <c r="T47">
        <f>ROUND(ROUND(Q47*Source!I255, 6)*SmtRes!AK125, 2)</f>
        <v>0</v>
      </c>
      <c r="U47">
        <f>SmtRes!X125</f>
        <v>-629368275</v>
      </c>
      <c r="V47">
        <v>-308535249</v>
      </c>
      <c r="W47">
        <v>-308535249</v>
      </c>
    </row>
    <row r="48" spans="1:23" x14ac:dyDescent="0.2">
      <c r="A48">
        <f>Source!A255</f>
        <v>17</v>
      </c>
      <c r="C48">
        <v>3</v>
      </c>
      <c r="D48">
        <v>0</v>
      </c>
      <c r="E48">
        <f>SmtRes!AV124</f>
        <v>0</v>
      </c>
      <c r="F48" t="str">
        <f>SmtRes!I124</f>
        <v>21.1-25-776</v>
      </c>
      <c r="G48" t="str">
        <f>SmtRes!K124</f>
        <v>Средство связующее универсальное полиуретановое на основе резиновой и каучуковой крошки для устройства высокопрочных эластичных покрытий</v>
      </c>
      <c r="H48" t="str">
        <f>SmtRes!O124</f>
        <v>кг</v>
      </c>
      <c r="I48">
        <f>SmtRes!Y124*Source!I255</f>
        <v>3381</v>
      </c>
      <c r="J48">
        <f>SmtRes!AO124</f>
        <v>1</v>
      </c>
      <c r="K48">
        <f>SmtRes!AE124</f>
        <v>202.34</v>
      </c>
      <c r="L48">
        <f>SmtRes!DB124</f>
        <v>48865.11</v>
      </c>
      <c r="M48">
        <f>ROUND(ROUND(L48*Source!I255, 6)*1, 2)</f>
        <v>684111.54</v>
      </c>
      <c r="N48">
        <f>SmtRes!AA124</f>
        <v>202.34</v>
      </c>
      <c r="O48">
        <f>ROUND(ROUND(L48*Source!I255, 6)*SmtRes!DA124, 2)</f>
        <v>684111.54</v>
      </c>
      <c r="P48">
        <f>SmtRes!AG124</f>
        <v>0</v>
      </c>
      <c r="Q48">
        <f>SmtRes!DC124</f>
        <v>0</v>
      </c>
      <c r="R48">
        <f>ROUND(ROUND(Q48*Source!I255, 6)*1, 2)</f>
        <v>0</v>
      </c>
      <c r="S48">
        <f>SmtRes!AC124</f>
        <v>0</v>
      </c>
      <c r="T48">
        <f>ROUND(ROUND(Q48*Source!I255, 6)*SmtRes!AK124, 2)</f>
        <v>0</v>
      </c>
      <c r="U48">
        <f>SmtRes!X124</f>
        <v>1434584530</v>
      </c>
      <c r="V48">
        <v>2130616076</v>
      </c>
      <c r="W48">
        <v>2130616076</v>
      </c>
    </row>
    <row r="49" spans="1:23" x14ac:dyDescent="0.2">
      <c r="A49">
        <f>Source!A255</f>
        <v>17</v>
      </c>
      <c r="C49">
        <v>3</v>
      </c>
      <c r="D49">
        <v>0</v>
      </c>
      <c r="E49">
        <f>SmtRes!AV121</f>
        <v>0</v>
      </c>
      <c r="F49" t="str">
        <f>SmtRes!I121</f>
        <v>21.1-25-343</v>
      </c>
      <c r="G49" t="str">
        <f>SmtRes!K121</f>
        <v>Скипидар живичный</v>
      </c>
      <c r="H49" t="str">
        <f>SmtRes!O121</f>
        <v>т</v>
      </c>
      <c r="I49">
        <f>SmtRes!Y121*Source!I255</f>
        <v>4.41E-2</v>
      </c>
      <c r="J49">
        <f>SmtRes!AO121</f>
        <v>1</v>
      </c>
      <c r="K49">
        <f>SmtRes!AE121</f>
        <v>343020.03</v>
      </c>
      <c r="L49">
        <f>SmtRes!DB121</f>
        <v>1080.51</v>
      </c>
      <c r="M49">
        <f>ROUND(ROUND(L49*Source!I255, 6)*1, 2)</f>
        <v>15127.14</v>
      </c>
      <c r="N49">
        <f>SmtRes!AA121</f>
        <v>343020.03</v>
      </c>
      <c r="O49">
        <f>ROUND(ROUND(L49*Source!I255, 6)*SmtRes!DA121, 2)</f>
        <v>15127.14</v>
      </c>
      <c r="P49">
        <f>SmtRes!AG121</f>
        <v>0</v>
      </c>
      <c r="Q49">
        <f>SmtRes!DC121</f>
        <v>0</v>
      </c>
      <c r="R49">
        <f>ROUND(ROUND(Q49*Source!I255, 6)*1, 2)</f>
        <v>0</v>
      </c>
      <c r="S49">
        <f>SmtRes!AC121</f>
        <v>0</v>
      </c>
      <c r="T49">
        <f>ROUND(ROUND(Q49*Source!I255, 6)*SmtRes!AK121, 2)</f>
        <v>0</v>
      </c>
      <c r="U49">
        <f>SmtRes!X121</f>
        <v>2135985724</v>
      </c>
      <c r="V49">
        <v>-588394673</v>
      </c>
      <c r="W49">
        <v>-588394673</v>
      </c>
    </row>
    <row r="50" spans="1:23" x14ac:dyDescent="0.2">
      <c r="A50">
        <f>Source!A258</f>
        <v>18</v>
      </c>
      <c r="C50">
        <v>3</v>
      </c>
      <c r="D50">
        <f>Source!BI258</f>
        <v>4</v>
      </c>
      <c r="E50">
        <f>Source!FS258</f>
        <v>0</v>
      </c>
      <c r="F50" t="str">
        <f>Source!F258</f>
        <v>21.1-25-770</v>
      </c>
      <c r="G50" t="str">
        <f>Source!G258</f>
        <v>Крошка каучуковая гранулированная, окрашенная в массе, фракция 2-3 мм, цвет черный</v>
      </c>
      <c r="H50" t="str">
        <f>Source!H258</f>
        <v>кг</v>
      </c>
      <c r="I50">
        <f>Source!I258</f>
        <v>10290</v>
      </c>
      <c r="J50">
        <v>1</v>
      </c>
      <c r="K50">
        <f>Source!AC258</f>
        <v>94.72</v>
      </c>
      <c r="M50">
        <f>ROUND(K50*I50, 2)</f>
        <v>974668.80000000005</v>
      </c>
      <c r="N50">
        <f>Source!AC258*IF(Source!BC258&lt;&gt; 0, Source!BC258, 1)</f>
        <v>94.72</v>
      </c>
      <c r="O50">
        <f>ROUND(N50*I50, 2)</f>
        <v>974668.80000000005</v>
      </c>
      <c r="P50">
        <f>Source!AE258</f>
        <v>0</v>
      </c>
      <c r="R50">
        <f>ROUND(P50*I50, 2)</f>
        <v>0</v>
      </c>
      <c r="S50">
        <f>Source!AE258*IF(Source!BS258&lt;&gt; 0, Source!BS258, 1)</f>
        <v>0</v>
      </c>
      <c r="T50">
        <f>ROUND(S50*I50, 2)</f>
        <v>0</v>
      </c>
      <c r="U50">
        <f>Source!GF258</f>
        <v>1723842548</v>
      </c>
      <c r="V50">
        <v>886629262</v>
      </c>
      <c r="W50">
        <v>886629262</v>
      </c>
    </row>
    <row r="51" spans="1:23" x14ac:dyDescent="0.2">
      <c r="A51">
        <f>Source!A292</f>
        <v>4</v>
      </c>
      <c r="B51">
        <v>292</v>
      </c>
      <c r="G51" t="str">
        <f>Source!G292</f>
        <v>Раздел 27.1 Устройство нового пешеходного покрытия из бетонной плитки - 60 м2</v>
      </c>
    </row>
    <row r="52" spans="1:23" x14ac:dyDescent="0.2">
      <c r="A52">
        <f>Source!A301</f>
        <v>17</v>
      </c>
      <c r="C52">
        <v>3</v>
      </c>
      <c r="D52">
        <f>Source!BI301</f>
        <v>1</v>
      </c>
      <c r="E52">
        <f>Source!FS301</f>
        <v>0</v>
      </c>
      <c r="F52" t="str">
        <f>Source!F301</f>
        <v>Коммерческое предложение</v>
      </c>
      <c r="G52" t="str">
        <f>Source!G301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   Базисная стоимость: 100,30 = [120,36 / 1,2]</v>
      </c>
      <c r="H52" t="str">
        <f>Source!H301</f>
        <v/>
      </c>
      <c r="I52">
        <f>Source!I301</f>
        <v>36.119999999999997</v>
      </c>
      <c r="J52">
        <v>1</v>
      </c>
      <c r="K52">
        <f>Source!AC301</f>
        <v>100.3</v>
      </c>
      <c r="M52">
        <f>ROUND(K52*I52, 2)</f>
        <v>3622.84</v>
      </c>
      <c r="N52">
        <f>Source!AC301*IF(Source!BC301&lt;&gt; 0, Source!BC301, 1)</f>
        <v>100.3</v>
      </c>
      <c r="O52">
        <f>ROUND(N52*I52, 2)</f>
        <v>3622.84</v>
      </c>
      <c r="P52">
        <f>Source!AE301</f>
        <v>0</v>
      </c>
      <c r="R52">
        <f>ROUND(P52*I52, 2)</f>
        <v>0</v>
      </c>
      <c r="S52">
        <f>Source!AE301*IF(Source!BS301&lt;&gt; 0, Source!BS301, 1)</f>
        <v>0</v>
      </c>
      <c r="T52">
        <f>ROUND(S52*I52, 2)</f>
        <v>0</v>
      </c>
      <c r="U52">
        <f>Source!GF301</f>
        <v>572566054</v>
      </c>
      <c r="V52">
        <v>179020775</v>
      </c>
      <c r="W52">
        <v>179020775</v>
      </c>
    </row>
    <row r="53" spans="1:23" x14ac:dyDescent="0.2">
      <c r="A53">
        <f>Source!A302</f>
        <v>17</v>
      </c>
      <c r="C53">
        <v>3</v>
      </c>
      <c r="D53">
        <v>0</v>
      </c>
      <c r="E53">
        <f>SmtRes!AV140</f>
        <v>0</v>
      </c>
      <c r="F53" t="str">
        <f>SmtRes!I140</f>
        <v>21.1-25-13</v>
      </c>
      <c r="G53" t="str">
        <f>SmtRes!K140</f>
        <v>Вода</v>
      </c>
      <c r="H53" t="str">
        <f>SmtRes!O140</f>
        <v>м3</v>
      </c>
      <c r="I53">
        <f>SmtRes!Y140*Source!I302</f>
        <v>0.6</v>
      </c>
      <c r="J53">
        <f>SmtRes!AO140</f>
        <v>1</v>
      </c>
      <c r="K53">
        <f>SmtRes!AE140</f>
        <v>35.25</v>
      </c>
      <c r="L53">
        <f>SmtRes!DB140</f>
        <v>176.25</v>
      </c>
      <c r="M53">
        <f>ROUND(ROUND(L53*Source!I302, 6)*1, 2)</f>
        <v>21.15</v>
      </c>
      <c r="N53">
        <f>SmtRes!AA140</f>
        <v>35.25</v>
      </c>
      <c r="O53">
        <f>ROUND(ROUND(L53*Source!I302, 6)*SmtRes!DA140, 2)</f>
        <v>21.15</v>
      </c>
      <c r="P53">
        <f>SmtRes!AG140</f>
        <v>0</v>
      </c>
      <c r="Q53">
        <f>SmtRes!DC140</f>
        <v>0</v>
      </c>
      <c r="R53">
        <f>ROUND(ROUND(Q53*Source!I302, 6)*1, 2)</f>
        <v>0</v>
      </c>
      <c r="S53">
        <f>SmtRes!AC140</f>
        <v>0</v>
      </c>
      <c r="T53">
        <f>ROUND(ROUND(Q53*Source!I302, 6)*SmtRes!AK140, 2)</f>
        <v>0</v>
      </c>
      <c r="U53">
        <f>SmtRes!X140</f>
        <v>2028445372</v>
      </c>
      <c r="V53">
        <v>1411454429</v>
      </c>
      <c r="W53">
        <v>1411454429</v>
      </c>
    </row>
    <row r="54" spans="1:23" x14ac:dyDescent="0.2">
      <c r="A54">
        <f>Source!A302</f>
        <v>17</v>
      </c>
      <c r="C54">
        <v>3</v>
      </c>
      <c r="D54">
        <v>0</v>
      </c>
      <c r="E54">
        <f>SmtRes!AV139</f>
        <v>0</v>
      </c>
      <c r="F54" t="str">
        <f>SmtRes!I139</f>
        <v>21.1-12-10</v>
      </c>
      <c r="G54" t="str">
        <f>SmtRes!K139</f>
        <v>Песок для дорожных работ, рядовой</v>
      </c>
      <c r="H54" t="str">
        <f>SmtRes!O139</f>
        <v>м3</v>
      </c>
      <c r="I54">
        <f>SmtRes!Y139*Source!I302</f>
        <v>13.2</v>
      </c>
      <c r="J54">
        <f>SmtRes!AO139</f>
        <v>1</v>
      </c>
      <c r="K54">
        <f>SmtRes!AE139</f>
        <v>590.78</v>
      </c>
      <c r="L54">
        <f>SmtRes!DB139</f>
        <v>64985.8</v>
      </c>
      <c r="M54">
        <f>ROUND(ROUND(L54*Source!I302, 6)*1, 2)</f>
        <v>7798.3</v>
      </c>
      <c r="N54">
        <f>SmtRes!AA139</f>
        <v>590.78</v>
      </c>
      <c r="O54">
        <f>ROUND(ROUND(L54*Source!I302, 6)*SmtRes!DA139, 2)</f>
        <v>7798.3</v>
      </c>
      <c r="P54">
        <f>SmtRes!AG139</f>
        <v>0</v>
      </c>
      <c r="Q54">
        <f>SmtRes!DC139</f>
        <v>0</v>
      </c>
      <c r="R54">
        <f>ROUND(ROUND(Q54*Source!I302, 6)*1, 2)</f>
        <v>0</v>
      </c>
      <c r="S54">
        <f>SmtRes!AC139</f>
        <v>0</v>
      </c>
      <c r="T54">
        <f>ROUND(ROUND(Q54*Source!I302, 6)*SmtRes!AK139, 2)</f>
        <v>0</v>
      </c>
      <c r="U54">
        <f>SmtRes!X139</f>
        <v>-840107338</v>
      </c>
      <c r="V54">
        <v>1585412624</v>
      </c>
      <c r="W54">
        <v>1585412624</v>
      </c>
    </row>
    <row r="55" spans="1:23" x14ac:dyDescent="0.2">
      <c r="A55">
        <f>Source!A303</f>
        <v>17</v>
      </c>
      <c r="C55">
        <v>3</v>
      </c>
      <c r="D55">
        <v>0</v>
      </c>
      <c r="E55">
        <f>SmtRes!AV149</f>
        <v>0</v>
      </c>
      <c r="F55" t="str">
        <f>SmtRes!I149</f>
        <v>21.1-25-13</v>
      </c>
      <c r="G55" t="str">
        <f>SmtRes!K149</f>
        <v>Вода</v>
      </c>
      <c r="H55" t="str">
        <f>SmtRes!O149</f>
        <v>м3</v>
      </c>
      <c r="I55">
        <f>SmtRes!Y149*Source!I303</f>
        <v>0.504</v>
      </c>
      <c r="J55">
        <f>SmtRes!AO149</f>
        <v>1</v>
      </c>
      <c r="K55">
        <f>SmtRes!AE149</f>
        <v>35.25</v>
      </c>
      <c r="L55">
        <f>SmtRes!DB149</f>
        <v>246.75</v>
      </c>
      <c r="M55">
        <f>ROUND(ROUND(L55*Source!I303, 6)*1, 2)</f>
        <v>17.77</v>
      </c>
      <c r="N55">
        <f>SmtRes!AA149</f>
        <v>35.25</v>
      </c>
      <c r="O55">
        <f>ROUND(ROUND(L55*Source!I303, 6)*SmtRes!DA149, 2)</f>
        <v>17.77</v>
      </c>
      <c r="P55">
        <f>SmtRes!AG149</f>
        <v>0</v>
      </c>
      <c r="Q55">
        <f>SmtRes!DC149</f>
        <v>0</v>
      </c>
      <c r="R55">
        <f>ROUND(ROUND(Q55*Source!I303, 6)*1, 2)</f>
        <v>0</v>
      </c>
      <c r="S55">
        <f>SmtRes!AC149</f>
        <v>0</v>
      </c>
      <c r="T55">
        <f>ROUND(ROUND(Q55*Source!I303, 6)*SmtRes!AK149, 2)</f>
        <v>0</v>
      </c>
      <c r="U55">
        <f>SmtRes!X149</f>
        <v>2028445372</v>
      </c>
      <c r="V55">
        <v>1411454429</v>
      </c>
      <c r="W55">
        <v>1411454429</v>
      </c>
    </row>
    <row r="56" spans="1:23" x14ac:dyDescent="0.2">
      <c r="A56">
        <f>Source!A303</f>
        <v>17</v>
      </c>
      <c r="C56">
        <v>3</v>
      </c>
      <c r="D56">
        <v>0</v>
      </c>
      <c r="E56">
        <f>SmtRes!AV148</f>
        <v>0</v>
      </c>
      <c r="F56" t="str">
        <f>SmtRes!I148</f>
        <v>21.1-12-36</v>
      </c>
      <c r="G56" t="str">
        <f>SmtRes!K148</f>
        <v>Щебень из естественного камня для строительных работ, марка 1200-800, фракция 20-40 мм</v>
      </c>
      <c r="H56" t="str">
        <f>SmtRes!O148</f>
        <v>м3</v>
      </c>
      <c r="I56">
        <f>SmtRes!Y148*Source!I303</f>
        <v>9.0719999999999992</v>
      </c>
      <c r="J56">
        <f>SmtRes!AO148</f>
        <v>1</v>
      </c>
      <c r="K56">
        <f>SmtRes!AE148</f>
        <v>1763.75</v>
      </c>
      <c r="L56">
        <f>SmtRes!DB148</f>
        <v>222232.5</v>
      </c>
      <c r="M56">
        <f>ROUND(ROUND(L56*Source!I303, 6)*1, 2)</f>
        <v>16000.74</v>
      </c>
      <c r="N56">
        <f>SmtRes!AA148</f>
        <v>1763.75</v>
      </c>
      <c r="O56">
        <f>ROUND(ROUND(L56*Source!I303, 6)*SmtRes!DA148, 2)</f>
        <v>16000.74</v>
      </c>
      <c r="P56">
        <f>SmtRes!AG148</f>
        <v>0</v>
      </c>
      <c r="Q56">
        <f>SmtRes!DC148</f>
        <v>0</v>
      </c>
      <c r="R56">
        <f>ROUND(ROUND(Q56*Source!I303, 6)*1, 2)</f>
        <v>0</v>
      </c>
      <c r="S56">
        <f>SmtRes!AC148</f>
        <v>0</v>
      </c>
      <c r="T56">
        <f>ROUND(ROUND(Q56*Source!I303, 6)*SmtRes!AK148, 2)</f>
        <v>0</v>
      </c>
      <c r="U56">
        <f>SmtRes!X148</f>
        <v>811973350</v>
      </c>
      <c r="V56">
        <v>-100050385</v>
      </c>
      <c r="W56">
        <v>-100050385</v>
      </c>
    </row>
    <row r="57" spans="1:23" x14ac:dyDescent="0.2">
      <c r="A57">
        <f>Source!A304</f>
        <v>17</v>
      </c>
      <c r="C57">
        <v>3</v>
      </c>
      <c r="D57">
        <v>0</v>
      </c>
      <c r="E57">
        <f>SmtRes!AV156</f>
        <v>0</v>
      </c>
      <c r="F57" t="str">
        <f>SmtRes!I156</f>
        <v>21.7-3-11</v>
      </c>
      <c r="G57" t="str">
        <f>SmtRes!K156</f>
        <v>Диск отрезной с алмазным покрытием DC-D C1, диаметр 230 мм</v>
      </c>
      <c r="H57" t="str">
        <f>SmtRes!O156</f>
        <v>шт.</v>
      </c>
      <c r="I57">
        <f>SmtRes!Y156*Source!I304</f>
        <v>0.89999999999999991</v>
      </c>
      <c r="J57">
        <f>SmtRes!AO156</f>
        <v>1</v>
      </c>
      <c r="K57">
        <f>SmtRes!AE156</f>
        <v>5215.0200000000004</v>
      </c>
      <c r="L57">
        <f>SmtRes!DB156</f>
        <v>7822.53</v>
      </c>
      <c r="M57">
        <f>ROUND(ROUND(L57*Source!I304, 6)*1, 2)</f>
        <v>4693.5200000000004</v>
      </c>
      <c r="N57">
        <f>SmtRes!AA156</f>
        <v>5215.0200000000004</v>
      </c>
      <c r="O57">
        <f>ROUND(ROUND(L57*Source!I304, 6)*SmtRes!DA156, 2)</f>
        <v>4693.5200000000004</v>
      </c>
      <c r="P57">
        <f>SmtRes!AG156</f>
        <v>0</v>
      </c>
      <c r="Q57">
        <f>SmtRes!DC156</f>
        <v>0</v>
      </c>
      <c r="R57">
        <f>ROUND(ROUND(Q57*Source!I304, 6)*1, 2)</f>
        <v>0</v>
      </c>
      <c r="S57">
        <f>SmtRes!AC156</f>
        <v>0</v>
      </c>
      <c r="T57">
        <f>ROUND(ROUND(Q57*Source!I304, 6)*SmtRes!AK156, 2)</f>
        <v>0</v>
      </c>
      <c r="U57">
        <f>SmtRes!X156</f>
        <v>976136319</v>
      </c>
      <c r="V57">
        <v>-438588007</v>
      </c>
      <c r="W57">
        <v>-438588007</v>
      </c>
    </row>
    <row r="58" spans="1:23" x14ac:dyDescent="0.2">
      <c r="A58">
        <f>Source!A304</f>
        <v>17</v>
      </c>
      <c r="C58">
        <v>3</v>
      </c>
      <c r="D58">
        <v>0</v>
      </c>
      <c r="E58">
        <f>SmtRes!AV154</f>
        <v>0</v>
      </c>
      <c r="F58" t="str">
        <f>SmtRes!I154</f>
        <v>21.3-2-52</v>
      </c>
      <c r="G58" t="str">
        <f>SmtRes!K154</f>
        <v>Смеси сухие монтажно-кладочные цементно-песчаные: В12,5 (М150), F100, крупность заполнителя не более 3,5 мм</v>
      </c>
      <c r="H58" t="str">
        <f>SmtRes!O154</f>
        <v>т</v>
      </c>
      <c r="I58">
        <f>SmtRes!Y154*Source!I304</f>
        <v>5.1179999999999994</v>
      </c>
      <c r="J58">
        <f>SmtRes!AO154</f>
        <v>1</v>
      </c>
      <c r="K58">
        <f>SmtRes!AE154</f>
        <v>3886.85</v>
      </c>
      <c r="L58">
        <f>SmtRes!DB154</f>
        <v>33154.83</v>
      </c>
      <c r="M58">
        <f>ROUND(ROUND(L58*Source!I304, 6)*1, 2)</f>
        <v>19892.900000000001</v>
      </c>
      <c r="N58">
        <f>SmtRes!AA154</f>
        <v>3886.85</v>
      </c>
      <c r="O58">
        <f>ROUND(ROUND(L58*Source!I304, 6)*SmtRes!DA154, 2)</f>
        <v>19892.900000000001</v>
      </c>
      <c r="P58">
        <f>SmtRes!AG154</f>
        <v>0</v>
      </c>
      <c r="Q58">
        <f>SmtRes!DC154</f>
        <v>0</v>
      </c>
      <c r="R58">
        <f>ROUND(ROUND(Q58*Source!I304, 6)*1, 2)</f>
        <v>0</v>
      </c>
      <c r="S58">
        <f>SmtRes!AC154</f>
        <v>0</v>
      </c>
      <c r="T58">
        <f>ROUND(ROUND(Q58*Source!I304, 6)*SmtRes!AK154, 2)</f>
        <v>0</v>
      </c>
      <c r="U58">
        <f>SmtRes!X154</f>
        <v>-487600674</v>
      </c>
      <c r="V58">
        <v>665434639</v>
      </c>
      <c r="W58">
        <v>665434639</v>
      </c>
    </row>
    <row r="59" spans="1:23" x14ac:dyDescent="0.2">
      <c r="A59">
        <f>Source!A304</f>
        <v>17</v>
      </c>
      <c r="C59">
        <v>3</v>
      </c>
      <c r="D59">
        <v>0</v>
      </c>
      <c r="E59">
        <f>SmtRes!AV153</f>
        <v>0</v>
      </c>
      <c r="F59" t="str">
        <f>SmtRes!I153</f>
        <v>21.1-12-11</v>
      </c>
      <c r="G59" t="str">
        <f>SmtRes!K153</f>
        <v>Песок для строительных работ, рядовой</v>
      </c>
      <c r="H59" t="str">
        <f>SmtRes!O153</f>
        <v>м3</v>
      </c>
      <c r="I59">
        <f>SmtRes!Y153*Source!I304</f>
        <v>0.126</v>
      </c>
      <c r="J59">
        <f>SmtRes!AO153</f>
        <v>1</v>
      </c>
      <c r="K59">
        <f>SmtRes!AE153</f>
        <v>590.78</v>
      </c>
      <c r="L59">
        <f>SmtRes!DB153</f>
        <v>124.06</v>
      </c>
      <c r="M59">
        <f>ROUND(ROUND(L59*Source!I304, 6)*1, 2)</f>
        <v>74.44</v>
      </c>
      <c r="N59">
        <f>SmtRes!AA153</f>
        <v>590.78</v>
      </c>
      <c r="O59">
        <f>ROUND(ROUND(L59*Source!I304, 6)*SmtRes!DA153, 2)</f>
        <v>74.44</v>
      </c>
      <c r="P59">
        <f>SmtRes!AG153</f>
        <v>0</v>
      </c>
      <c r="Q59">
        <f>SmtRes!DC153</f>
        <v>0</v>
      </c>
      <c r="R59">
        <f>ROUND(ROUND(Q59*Source!I304, 6)*1, 2)</f>
        <v>0</v>
      </c>
      <c r="S59">
        <f>SmtRes!AC153</f>
        <v>0</v>
      </c>
      <c r="T59">
        <f>ROUND(ROUND(Q59*Source!I304, 6)*SmtRes!AK153, 2)</f>
        <v>0</v>
      </c>
      <c r="U59">
        <f>SmtRes!X153</f>
        <v>-1662970571</v>
      </c>
      <c r="V59">
        <v>496958337</v>
      </c>
      <c r="W59">
        <v>496958337</v>
      </c>
    </row>
    <row r="60" spans="1:23" x14ac:dyDescent="0.2">
      <c r="A60">
        <f>Source!A305</f>
        <v>18</v>
      </c>
      <c r="C60">
        <v>3</v>
      </c>
      <c r="D60">
        <f>Source!BI305</f>
        <v>4</v>
      </c>
      <c r="E60">
        <f>Source!FS305</f>
        <v>0</v>
      </c>
      <c r="F60" t="str">
        <f>Source!F305</f>
        <v>21.5-1-6</v>
      </c>
      <c r="G60" t="str">
        <f>Source!G305</f>
        <v>Плиты бетонные тротуарные, толщина 70 мм, цвет серый</v>
      </c>
      <c r="H60" t="str">
        <f>Source!H305</f>
        <v>м2</v>
      </c>
      <c r="I60">
        <f>Source!I305</f>
        <v>60</v>
      </c>
      <c r="J60">
        <v>1</v>
      </c>
      <c r="K60">
        <f>Source!AC305</f>
        <v>664.27</v>
      </c>
      <c r="M60">
        <f>ROUND(K60*I60, 2)</f>
        <v>39856.199999999997</v>
      </c>
      <c r="N60">
        <f>Source!AC305*IF(Source!BC305&lt;&gt; 0, Source!BC305, 1)</f>
        <v>664.27</v>
      </c>
      <c r="O60">
        <f>ROUND(N60*I60, 2)</f>
        <v>39856.199999999997</v>
      </c>
      <c r="P60">
        <f>Source!AE305</f>
        <v>0</v>
      </c>
      <c r="R60">
        <f>ROUND(P60*I60, 2)</f>
        <v>0</v>
      </c>
      <c r="S60">
        <f>Source!AE305*IF(Source!BS305&lt;&gt; 0, Source!BS305, 1)</f>
        <v>0</v>
      </c>
      <c r="T60">
        <f>ROUND(S60*I60, 2)</f>
        <v>0</v>
      </c>
      <c r="U60">
        <f>Source!GF305</f>
        <v>-529343282</v>
      </c>
      <c r="V60">
        <v>766657037</v>
      </c>
      <c r="W60">
        <v>766657037</v>
      </c>
    </row>
    <row r="61" spans="1:23" x14ac:dyDescent="0.2">
      <c r="A61">
        <f>Source!A339</f>
        <v>4</v>
      </c>
      <c r="B61">
        <v>339</v>
      </c>
      <c r="G61" t="str">
        <f>Source!G339</f>
        <v xml:space="preserve">28. Замена/ устройство бортового камня  садового (для дорожно-тропиночной сети) </v>
      </c>
    </row>
    <row r="62" spans="1:23" x14ac:dyDescent="0.2">
      <c r="A62">
        <f>Source!A349</f>
        <v>17</v>
      </c>
      <c r="C62">
        <v>3</v>
      </c>
      <c r="D62">
        <f>Source!BI349</f>
        <v>1</v>
      </c>
      <c r="E62">
        <f>Source!FS349</f>
        <v>0</v>
      </c>
      <c r="F62" t="str">
        <f>Source!F349</f>
        <v>Коммерческое предложение</v>
      </c>
      <c r="G62" t="str">
        <f>Source!G349</f>
        <v>Стоимость приемки отходов строительства и сноса (боя кирпичной кладки бетонных и железобетонных изделий, отходов бетона и железобетона, асфальтобетона в кусковой форме) для переработки дробильными комплексами (Базисная стоимость: 150,61= [180,73/1,2]</v>
      </c>
      <c r="H62" t="str">
        <f>Source!H349</f>
        <v>т</v>
      </c>
      <c r="I62">
        <f>Source!I349</f>
        <v>21.504000000000001</v>
      </c>
      <c r="J62">
        <v>1</v>
      </c>
      <c r="K62">
        <f>Source!AC349</f>
        <v>150.61000000000001</v>
      </c>
      <c r="M62">
        <f>ROUND(K62*I62, 2)</f>
        <v>3238.72</v>
      </c>
      <c r="N62">
        <f>Source!AC349*IF(Source!BC349&lt;&gt; 0, Source!BC349, 1)</f>
        <v>150.61000000000001</v>
      </c>
      <c r="O62">
        <f>ROUND(N62*I62, 2)</f>
        <v>3238.72</v>
      </c>
      <c r="P62">
        <f>Source!AE349</f>
        <v>0</v>
      </c>
      <c r="R62">
        <f>ROUND(P62*I62, 2)</f>
        <v>0</v>
      </c>
      <c r="S62">
        <f>Source!AE349*IF(Source!BS349&lt;&gt; 0, Source!BS349, 1)</f>
        <v>0</v>
      </c>
      <c r="T62">
        <f>ROUND(S62*I62, 2)</f>
        <v>0</v>
      </c>
      <c r="U62">
        <f>Source!GF349</f>
        <v>620836412</v>
      </c>
      <c r="V62">
        <v>-909607440</v>
      </c>
      <c r="W62">
        <v>-909607440</v>
      </c>
    </row>
    <row r="63" spans="1:23" x14ac:dyDescent="0.2">
      <c r="A63">
        <f>Source!A350</f>
        <v>17</v>
      </c>
      <c r="C63">
        <v>3</v>
      </c>
      <c r="D63">
        <v>0</v>
      </c>
      <c r="E63">
        <f>SmtRes!AV173</f>
        <v>0</v>
      </c>
      <c r="F63" t="str">
        <f>SmtRes!I173</f>
        <v>21.1-25-13</v>
      </c>
      <c r="G63" t="str">
        <f>SmtRes!K173</f>
        <v>Вода</v>
      </c>
      <c r="H63" t="str">
        <f>SmtRes!O173</f>
        <v>м3</v>
      </c>
      <c r="I63">
        <f>SmtRes!Y173*Source!I350</f>
        <v>8.7500000000000008E-2</v>
      </c>
      <c r="J63">
        <f>SmtRes!AO173</f>
        <v>1</v>
      </c>
      <c r="K63">
        <f>SmtRes!AE173</f>
        <v>35.25</v>
      </c>
      <c r="L63">
        <f>SmtRes!DB173</f>
        <v>176.25</v>
      </c>
      <c r="M63">
        <f>ROUND(ROUND(L63*Source!I350, 6)*1, 2)</f>
        <v>3.08</v>
      </c>
      <c r="N63">
        <f>SmtRes!AA173</f>
        <v>35.25</v>
      </c>
      <c r="O63">
        <f>ROUND(ROUND(L63*Source!I350, 6)*SmtRes!DA173, 2)</f>
        <v>3.08</v>
      </c>
      <c r="P63">
        <f>SmtRes!AG173</f>
        <v>0</v>
      </c>
      <c r="Q63">
        <f>SmtRes!DC173</f>
        <v>0</v>
      </c>
      <c r="R63">
        <f>ROUND(ROUND(Q63*Source!I350, 6)*1, 2)</f>
        <v>0</v>
      </c>
      <c r="S63">
        <f>SmtRes!AC173</f>
        <v>0</v>
      </c>
      <c r="T63">
        <f>ROUND(ROUND(Q63*Source!I350, 6)*SmtRes!AK173, 2)</f>
        <v>0</v>
      </c>
      <c r="U63">
        <f>SmtRes!X173</f>
        <v>2028445372</v>
      </c>
      <c r="V63">
        <v>1411454429</v>
      </c>
      <c r="W63">
        <v>1411454429</v>
      </c>
    </row>
    <row r="64" spans="1:23" x14ac:dyDescent="0.2">
      <c r="A64">
        <f>Source!A350</f>
        <v>17</v>
      </c>
      <c r="C64">
        <v>3</v>
      </c>
      <c r="D64">
        <v>0</v>
      </c>
      <c r="E64">
        <f>SmtRes!AV172</f>
        <v>0</v>
      </c>
      <c r="F64" t="str">
        <f>SmtRes!I172</f>
        <v>21.1-12-10</v>
      </c>
      <c r="G64" t="str">
        <f>SmtRes!K172</f>
        <v>Песок для дорожных работ, рядовой</v>
      </c>
      <c r="H64" t="str">
        <f>SmtRes!O172</f>
        <v>м3</v>
      </c>
      <c r="I64">
        <f>SmtRes!Y172*Source!I350</f>
        <v>1.9250000000000003</v>
      </c>
      <c r="J64">
        <f>SmtRes!AO172</f>
        <v>1</v>
      </c>
      <c r="K64">
        <f>SmtRes!AE172</f>
        <v>590.78</v>
      </c>
      <c r="L64">
        <f>SmtRes!DB172</f>
        <v>64985.8</v>
      </c>
      <c r="M64">
        <f>ROUND(ROUND(L64*Source!I350, 6)*1, 2)</f>
        <v>1137.25</v>
      </c>
      <c r="N64">
        <f>SmtRes!AA172</f>
        <v>590.78</v>
      </c>
      <c r="O64">
        <f>ROUND(ROUND(L64*Source!I350, 6)*SmtRes!DA172, 2)</f>
        <v>1137.25</v>
      </c>
      <c r="P64">
        <f>SmtRes!AG172</f>
        <v>0</v>
      </c>
      <c r="Q64">
        <f>SmtRes!DC172</f>
        <v>0</v>
      </c>
      <c r="R64">
        <f>ROUND(ROUND(Q64*Source!I350, 6)*1, 2)</f>
        <v>0</v>
      </c>
      <c r="S64">
        <f>SmtRes!AC172</f>
        <v>0</v>
      </c>
      <c r="T64">
        <f>ROUND(ROUND(Q64*Source!I350, 6)*SmtRes!AK172, 2)</f>
        <v>0</v>
      </c>
      <c r="U64">
        <f>SmtRes!X172</f>
        <v>-840107338</v>
      </c>
      <c r="V64">
        <v>1585412624</v>
      </c>
      <c r="W64">
        <v>1585412624</v>
      </c>
    </row>
    <row r="65" spans="1:23" x14ac:dyDescent="0.2">
      <c r="A65">
        <f>Source!A351</f>
        <v>17</v>
      </c>
      <c r="C65">
        <v>3</v>
      </c>
      <c r="D65">
        <v>0</v>
      </c>
      <c r="E65">
        <f>SmtRes!AV178</f>
        <v>0</v>
      </c>
      <c r="F65" t="str">
        <f>SmtRes!I178</f>
        <v>21.5-3-12</v>
      </c>
      <c r="G65" t="str">
        <f>SmtRes!K178</f>
        <v>Камни бетонные бортовые, марка БР60.20.8</v>
      </c>
      <c r="H65" t="str">
        <f>SmtRes!O178</f>
        <v>м3</v>
      </c>
      <c r="I65">
        <f>SmtRes!Y178*Source!I351</f>
        <v>2.2399999999999998</v>
      </c>
      <c r="J65">
        <f>SmtRes!AO178</f>
        <v>1</v>
      </c>
      <c r="K65">
        <f>SmtRes!AE178</f>
        <v>9014.9</v>
      </c>
      <c r="L65">
        <f>SmtRes!DB178</f>
        <v>14423.84</v>
      </c>
      <c r="M65">
        <f>ROUND(ROUND(L65*Source!I351, 6)*1, 2)</f>
        <v>20193.38</v>
      </c>
      <c r="N65">
        <f>SmtRes!AA178</f>
        <v>9014.9</v>
      </c>
      <c r="O65">
        <f>ROUND(ROUND(L65*Source!I351, 6)*SmtRes!DA178, 2)</f>
        <v>20193.38</v>
      </c>
      <c r="P65">
        <f>SmtRes!AG178</f>
        <v>0</v>
      </c>
      <c r="Q65">
        <f>SmtRes!DC178</f>
        <v>0</v>
      </c>
      <c r="R65">
        <f>ROUND(ROUND(Q65*Source!I351, 6)*1, 2)</f>
        <v>0</v>
      </c>
      <c r="S65">
        <f>SmtRes!AC178</f>
        <v>0</v>
      </c>
      <c r="T65">
        <f>ROUND(ROUND(Q65*Source!I351, 6)*SmtRes!AK178, 2)</f>
        <v>0</v>
      </c>
      <c r="U65">
        <f>SmtRes!X178</f>
        <v>858864401</v>
      </c>
      <c r="V65">
        <v>-1801759247</v>
      </c>
      <c r="W65">
        <v>-1801759247</v>
      </c>
    </row>
    <row r="66" spans="1:23" x14ac:dyDescent="0.2">
      <c r="A66">
        <f>Source!A351</f>
        <v>17</v>
      </c>
      <c r="C66">
        <v>3</v>
      </c>
      <c r="D66">
        <v>0</v>
      </c>
      <c r="E66">
        <f>SmtRes!AV177</f>
        <v>0</v>
      </c>
      <c r="F66" t="str">
        <f>SmtRes!I177</f>
        <v>21.3-2-15</v>
      </c>
      <c r="G66" t="str">
        <f>SmtRes!K177</f>
        <v>Растворы цементные, марка 100</v>
      </c>
      <c r="H66" t="str">
        <f>SmtRes!O177</f>
        <v>м3</v>
      </c>
      <c r="I66">
        <f>SmtRes!Y177*Source!I351</f>
        <v>2.7999999999999997E-2</v>
      </c>
      <c r="J66">
        <f>SmtRes!AO177</f>
        <v>1</v>
      </c>
      <c r="K66">
        <f>SmtRes!AE177</f>
        <v>3392.59</v>
      </c>
      <c r="L66">
        <f>SmtRes!DB177</f>
        <v>67.849999999999994</v>
      </c>
      <c r="M66">
        <f>ROUND(ROUND(L66*Source!I351, 6)*1, 2)</f>
        <v>94.99</v>
      </c>
      <c r="N66">
        <f>SmtRes!AA177</f>
        <v>3392.59</v>
      </c>
      <c r="O66">
        <f>ROUND(ROUND(L66*Source!I351, 6)*SmtRes!DA177, 2)</f>
        <v>94.99</v>
      </c>
      <c r="P66">
        <f>SmtRes!AG177</f>
        <v>0</v>
      </c>
      <c r="Q66">
        <f>SmtRes!DC177</f>
        <v>0</v>
      </c>
      <c r="R66">
        <f>ROUND(ROUND(Q66*Source!I351, 6)*1, 2)</f>
        <v>0</v>
      </c>
      <c r="S66">
        <f>SmtRes!AC177</f>
        <v>0</v>
      </c>
      <c r="T66">
        <f>ROUND(ROUND(Q66*Source!I351, 6)*SmtRes!AK177, 2)</f>
        <v>0</v>
      </c>
      <c r="U66">
        <f>SmtRes!X177</f>
        <v>253260963</v>
      </c>
      <c r="V66">
        <v>1066234070</v>
      </c>
      <c r="W66">
        <v>1066234070</v>
      </c>
    </row>
    <row r="67" spans="1:23" x14ac:dyDescent="0.2">
      <c r="A67">
        <f>Source!A351</f>
        <v>17</v>
      </c>
      <c r="C67">
        <v>3</v>
      </c>
      <c r="D67">
        <v>0</v>
      </c>
      <c r="E67">
        <f>SmtRes!AV176</f>
        <v>0</v>
      </c>
      <c r="F67" t="str">
        <f>SmtRes!I176</f>
        <v>21.3-1-69</v>
      </c>
      <c r="G67" t="str">
        <f>SmtRes!K176</f>
        <v>Смеси бетонные, БСГ, тяжелого бетона на гранитном щебне, класс прочности: В15 (М200); П3, фракция 5-20, F50-100, W0-2</v>
      </c>
      <c r="H67" t="str">
        <f>SmtRes!O176</f>
        <v>м3</v>
      </c>
      <c r="I67">
        <f>SmtRes!Y176*Source!I351</f>
        <v>6.72</v>
      </c>
      <c r="J67">
        <f>SmtRes!AO176</f>
        <v>1</v>
      </c>
      <c r="K67">
        <f>SmtRes!AE176</f>
        <v>3714.73</v>
      </c>
      <c r="L67">
        <f>SmtRes!DB176</f>
        <v>17830.7</v>
      </c>
      <c r="M67">
        <f>ROUND(ROUND(L67*Source!I351, 6)*1, 2)</f>
        <v>24962.98</v>
      </c>
      <c r="N67">
        <f>SmtRes!AA176</f>
        <v>3714.73</v>
      </c>
      <c r="O67">
        <f>ROUND(ROUND(L67*Source!I351, 6)*SmtRes!DA176, 2)</f>
        <v>24962.98</v>
      </c>
      <c r="P67">
        <f>SmtRes!AG176</f>
        <v>0</v>
      </c>
      <c r="Q67">
        <f>SmtRes!DC176</f>
        <v>0</v>
      </c>
      <c r="R67">
        <f>ROUND(ROUND(Q67*Source!I351, 6)*1, 2)</f>
        <v>0</v>
      </c>
      <c r="S67">
        <f>SmtRes!AC176</f>
        <v>0</v>
      </c>
      <c r="T67">
        <f>ROUND(ROUND(Q67*Source!I351, 6)*SmtRes!AK176, 2)</f>
        <v>0</v>
      </c>
      <c r="U67">
        <f>SmtRes!X176</f>
        <v>-697630842</v>
      </c>
      <c r="V67">
        <v>-887866689</v>
      </c>
      <c r="W67">
        <v>-887866689</v>
      </c>
    </row>
    <row r="68" spans="1:23" x14ac:dyDescent="0.2">
      <c r="A68">
        <f>Source!A382</f>
        <v>4</v>
      </c>
      <c r="B68">
        <v>382</v>
      </c>
      <c r="G68" t="str">
        <f>Source!G382</f>
        <v>Раздел. 48 Устройство покрытия из искусственной травы - 1000 м2 (Спорт. общестрой)</v>
      </c>
    </row>
    <row r="69" spans="1:23" x14ac:dyDescent="0.2">
      <c r="A69">
        <f>Source!A386</f>
        <v>17</v>
      </c>
      <c r="C69">
        <v>3</v>
      </c>
      <c r="D69">
        <v>0</v>
      </c>
      <c r="E69">
        <f>SmtRes!AV184</f>
        <v>0</v>
      </c>
      <c r="F69" t="str">
        <f>SmtRes!I184</f>
        <v>21.1-25-767</v>
      </c>
      <c r="G69" t="str">
        <f>SmtRes!K184</f>
        <v>Трава искусственная (покрытие ковровое) нетканая, фибрилированная, высота ворса 10 мм</v>
      </c>
      <c r="H69" t="str">
        <f>SmtRes!O184</f>
        <v>м2</v>
      </c>
      <c r="I69">
        <f>SmtRes!Y184*Source!I386</f>
        <v>1020</v>
      </c>
      <c r="J69">
        <f>SmtRes!AO184</f>
        <v>1</v>
      </c>
      <c r="K69">
        <f>SmtRes!AE184</f>
        <v>614.99</v>
      </c>
      <c r="L69">
        <f>SmtRes!DB184</f>
        <v>62728.98</v>
      </c>
      <c r="M69">
        <f>ROUND(ROUND(L69*Source!I386, 6)*1, 2)</f>
        <v>627289.80000000005</v>
      </c>
      <c r="N69">
        <f>SmtRes!AA184</f>
        <v>614.99</v>
      </c>
      <c r="O69">
        <f>ROUND(ROUND(L69*Source!I386, 6)*SmtRes!DA184, 2)</f>
        <v>627289.80000000005</v>
      </c>
      <c r="P69">
        <f>SmtRes!AG184</f>
        <v>0</v>
      </c>
      <c r="Q69">
        <f>SmtRes!DC184</f>
        <v>0</v>
      </c>
      <c r="R69">
        <f>ROUND(ROUND(Q69*Source!I386, 6)*1, 2)</f>
        <v>0</v>
      </c>
      <c r="S69">
        <f>SmtRes!AC184</f>
        <v>0</v>
      </c>
      <c r="T69">
        <f>ROUND(ROUND(Q69*Source!I386, 6)*SmtRes!AK184, 2)</f>
        <v>0</v>
      </c>
      <c r="U69">
        <f>SmtRes!X184</f>
        <v>178760106</v>
      </c>
      <c r="V69">
        <v>574248621</v>
      </c>
      <c r="W69">
        <v>574248621</v>
      </c>
    </row>
    <row r="70" spans="1:23" x14ac:dyDescent="0.2">
      <c r="A70">
        <f>Source!A386</f>
        <v>17</v>
      </c>
      <c r="C70">
        <v>3</v>
      </c>
      <c r="D70">
        <v>0</v>
      </c>
      <c r="E70">
        <f>SmtRes!AV183</f>
        <v>0</v>
      </c>
      <c r="F70" t="str">
        <f>SmtRes!I183</f>
        <v>21.1-25-766</v>
      </c>
      <c r="G70" t="str">
        <f>SmtRes!K183</f>
        <v>Клей полиуретановый двухкомпонентный для искусственных газонов</v>
      </c>
      <c r="H70" t="str">
        <f>SmtRes!O183</f>
        <v>кг</v>
      </c>
      <c r="I70">
        <f>SmtRes!Y183*Source!I386</f>
        <v>48.2</v>
      </c>
      <c r="J70">
        <f>SmtRes!AO183</f>
        <v>1</v>
      </c>
      <c r="K70">
        <f>SmtRes!AE183</f>
        <v>256.20999999999998</v>
      </c>
      <c r="L70">
        <f>SmtRes!DB183</f>
        <v>1234.93</v>
      </c>
      <c r="M70">
        <f>ROUND(ROUND(L70*Source!I386, 6)*1, 2)</f>
        <v>12349.3</v>
      </c>
      <c r="N70">
        <f>SmtRes!AA183</f>
        <v>256.20999999999998</v>
      </c>
      <c r="O70">
        <f>ROUND(ROUND(L70*Source!I386, 6)*SmtRes!DA183, 2)</f>
        <v>12349.3</v>
      </c>
      <c r="P70">
        <f>SmtRes!AG183</f>
        <v>0</v>
      </c>
      <c r="Q70">
        <f>SmtRes!DC183</f>
        <v>0</v>
      </c>
      <c r="R70">
        <f>ROUND(ROUND(Q70*Source!I386, 6)*1, 2)</f>
        <v>0</v>
      </c>
      <c r="S70">
        <f>SmtRes!AC183</f>
        <v>0</v>
      </c>
      <c r="T70">
        <f>ROUND(ROUND(Q70*Source!I386, 6)*SmtRes!AK183, 2)</f>
        <v>0</v>
      </c>
      <c r="U70">
        <f>SmtRes!X183</f>
        <v>-1909415643</v>
      </c>
      <c r="V70">
        <v>974001796</v>
      </c>
      <c r="W70">
        <v>974001796</v>
      </c>
    </row>
    <row r="71" spans="1:23" x14ac:dyDescent="0.2">
      <c r="A71">
        <f>Source!A386</f>
        <v>17</v>
      </c>
      <c r="C71">
        <v>3</v>
      </c>
      <c r="D71">
        <v>0</v>
      </c>
      <c r="E71">
        <f>SmtRes!AV182</f>
        <v>0</v>
      </c>
      <c r="F71" t="str">
        <f>SmtRes!I182</f>
        <v>21.1-25-765</v>
      </c>
      <c r="G71" t="str">
        <f>SmtRes!K182</f>
        <v>Лента из полиэстера для фиксации искусственных газонов</v>
      </c>
      <c r="H71" t="str">
        <f>SmtRes!O182</f>
        <v>м</v>
      </c>
      <c r="I71">
        <f>SmtRes!Y182*Source!I386</f>
        <v>247</v>
      </c>
      <c r="J71">
        <f>SmtRes!AO182</f>
        <v>1</v>
      </c>
      <c r="K71">
        <f>SmtRes!AE182</f>
        <v>38.49</v>
      </c>
      <c r="L71">
        <f>SmtRes!DB182</f>
        <v>950.7</v>
      </c>
      <c r="M71">
        <f>ROUND(ROUND(L71*Source!I386, 6)*1, 2)</f>
        <v>9507</v>
      </c>
      <c r="N71">
        <f>SmtRes!AA182</f>
        <v>38.49</v>
      </c>
      <c r="O71">
        <f>ROUND(ROUND(L71*Source!I386, 6)*SmtRes!DA182, 2)</f>
        <v>9507</v>
      </c>
      <c r="P71">
        <f>SmtRes!AG182</f>
        <v>0</v>
      </c>
      <c r="Q71">
        <f>SmtRes!DC182</f>
        <v>0</v>
      </c>
      <c r="R71">
        <f>ROUND(ROUND(Q71*Source!I386, 6)*1, 2)</f>
        <v>0</v>
      </c>
      <c r="S71">
        <f>SmtRes!AC182</f>
        <v>0</v>
      </c>
      <c r="T71">
        <f>ROUND(ROUND(Q71*Source!I386, 6)*SmtRes!AK182, 2)</f>
        <v>0</v>
      </c>
      <c r="U71">
        <f>SmtRes!X182</f>
        <v>1482601448</v>
      </c>
      <c r="V71">
        <v>486704197</v>
      </c>
      <c r="W71">
        <v>486704197</v>
      </c>
    </row>
    <row r="72" spans="1:23" x14ac:dyDescent="0.2">
      <c r="A72">
        <f>Source!A420</f>
        <v>4</v>
      </c>
      <c r="B72">
        <v>420</v>
      </c>
      <c r="G72" t="str">
        <f>Source!G420</f>
        <v>Раздел 61. Демонтажные работы (Спорт. общестрой)</v>
      </c>
    </row>
    <row r="73" spans="1:23" x14ac:dyDescent="0.2">
      <c r="A73">
        <v>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85"/>
  <sheetViews>
    <sheetView workbookViewId="0"/>
  </sheetViews>
  <sheetFormatPr defaultRowHeight="12.75" x14ac:dyDescent="0.2"/>
  <cols>
    <col min="1" max="1" width="12.7109375" customWidth="1"/>
    <col min="2" max="2" width="40.7109375" customWidth="1"/>
    <col min="3" max="6" width="12.7109375" customWidth="1"/>
    <col min="35" max="35" width="103.7109375" hidden="1" customWidth="1"/>
    <col min="36" max="38" width="0" hidden="1" customWidth="1"/>
  </cols>
  <sheetData>
    <row r="2" spans="1:37" ht="16.5" x14ac:dyDescent="0.2">
      <c r="A2" s="76" t="s">
        <v>498</v>
      </c>
      <c r="B2" s="77"/>
      <c r="C2" s="77"/>
      <c r="D2" s="77"/>
      <c r="E2" s="77"/>
      <c r="F2" s="77"/>
    </row>
    <row r="3" spans="1:37" ht="33" x14ac:dyDescent="0.2">
      <c r="A3" s="76" t="str">
        <f>CONCATENATE("Объект: ",IF(Source!G487&lt;&gt;"Новый объект", Source!G487, ""))</f>
        <v>Объект: Благоустройство дворовых территорий Таганского района ЦАО г. Москвы в 2021 году (1-й этап)</v>
      </c>
      <c r="B3" s="77"/>
      <c r="C3" s="77"/>
      <c r="D3" s="77"/>
      <c r="E3" s="77"/>
      <c r="F3" s="77"/>
      <c r="AI3" s="37" t="s">
        <v>499</v>
      </c>
    </row>
    <row r="4" spans="1:37" x14ac:dyDescent="0.2">
      <c r="A4" s="64" t="s">
        <v>500</v>
      </c>
      <c r="B4" s="64" t="s">
        <v>501</v>
      </c>
      <c r="C4" s="64" t="s">
        <v>441</v>
      </c>
      <c r="D4" s="64" t="s">
        <v>502</v>
      </c>
      <c r="E4" s="83" t="s">
        <v>503</v>
      </c>
      <c r="F4" s="84"/>
    </row>
    <row r="5" spans="1:37" x14ac:dyDescent="0.2">
      <c r="A5" s="65"/>
      <c r="B5" s="65"/>
      <c r="C5" s="65"/>
      <c r="D5" s="65"/>
      <c r="E5" s="85"/>
      <c r="F5" s="86"/>
    </row>
    <row r="6" spans="1:37" ht="14.25" x14ac:dyDescent="0.2">
      <c r="A6" s="82"/>
      <c r="B6" s="82"/>
      <c r="C6" s="82"/>
      <c r="D6" s="82"/>
      <c r="E6" s="19" t="s">
        <v>504</v>
      </c>
      <c r="F6" s="19" t="s">
        <v>505</v>
      </c>
    </row>
    <row r="7" spans="1:37" ht="14.25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37" ht="33" x14ac:dyDescent="0.2">
      <c r="A8" s="76" t="str">
        <f>CONCATENATE("Локальная смета: ",IF(Source!G22&lt;&gt;"Новая локальная смета", Source!G22, ""))</f>
        <v>Локальная смета: Выполнение работ по благоустройству дворовых территориях Таганского района в 2021 году</v>
      </c>
      <c r="B8" s="77"/>
      <c r="C8" s="77"/>
      <c r="D8" s="77"/>
      <c r="E8" s="77"/>
      <c r="F8" s="77"/>
      <c r="AI8" s="37" t="s">
        <v>506</v>
      </c>
    </row>
    <row r="9" spans="1:37" ht="33" x14ac:dyDescent="0.2">
      <c r="A9" s="76" t="str">
        <f>CONCATENATE("Раздел: ",IF(Source!G26&lt;&gt;"Новый раздел", Source!G26, ""))</f>
        <v>Раздел: Раздел 4.  А/б покрытие пешеходных тротуаров на новое основание (АТ-1) - 35 м2</v>
      </c>
      <c r="B9" s="77"/>
      <c r="C9" s="77"/>
      <c r="D9" s="77"/>
      <c r="E9" s="77"/>
      <c r="F9" s="77"/>
      <c r="AI9" s="37" t="s">
        <v>507</v>
      </c>
    </row>
    <row r="10" spans="1:37" ht="14.25" x14ac:dyDescent="0.2">
      <c r="A10" s="80" t="s">
        <v>508</v>
      </c>
      <c r="B10" s="81"/>
      <c r="C10" s="81"/>
      <c r="D10" s="81"/>
      <c r="E10" s="81"/>
      <c r="F10" s="81"/>
    </row>
    <row r="11" spans="1:37" ht="14.25" x14ac:dyDescent="0.2">
      <c r="A11" s="39" t="s">
        <v>300</v>
      </c>
      <c r="B11" s="40" t="s">
        <v>302</v>
      </c>
      <c r="C11" s="40" t="s">
        <v>38</v>
      </c>
      <c r="D11" s="41">
        <f>ROUND(SUMIF(RV_DATA!W8:'RV_DATA'!W14, 1585412624, RV_DATA!I8:'RV_DATA'!I14), 6)</f>
        <v>7.7</v>
      </c>
      <c r="E11" s="42">
        <f>ROUND(RV_DATA!N10, 6)</f>
        <v>590.78</v>
      </c>
      <c r="F11" s="42">
        <f>ROUND(SUMIF(RV_DATA!W8:'RV_DATA'!W14, 1585412624, RV_DATA!O8:'RV_DATA'!O14), 6)</f>
        <v>4549.01</v>
      </c>
      <c r="AK11">
        <v>3</v>
      </c>
    </row>
    <row r="12" spans="1:37" ht="42.75" x14ac:dyDescent="0.2">
      <c r="A12" s="39" t="s">
        <v>315</v>
      </c>
      <c r="B12" s="40" t="s">
        <v>317</v>
      </c>
      <c r="C12" s="40" t="s">
        <v>38</v>
      </c>
      <c r="D12" s="41">
        <f>ROUND(SUMIF(RV_DATA!W8:'RV_DATA'!W14, -100050385, RV_DATA!I8:'RV_DATA'!I14), 6)</f>
        <v>8.82</v>
      </c>
      <c r="E12" s="42">
        <f>ROUND(RV_DATA!N12, 6)</f>
        <v>1763.75</v>
      </c>
      <c r="F12" s="42">
        <f>ROUND(SUMIF(RV_DATA!W8:'RV_DATA'!W14, -100050385, RV_DATA!O8:'RV_DATA'!O14), 6)</f>
        <v>15556.28</v>
      </c>
      <c r="AK12">
        <v>3</v>
      </c>
    </row>
    <row r="13" spans="1:37" ht="28.5" x14ac:dyDescent="0.2">
      <c r="A13" s="39" t="s">
        <v>318</v>
      </c>
      <c r="B13" s="40" t="s">
        <v>320</v>
      </c>
      <c r="C13" s="40" t="s">
        <v>68</v>
      </c>
      <c r="D13" s="41">
        <f>ROUND(SUMIF(RV_DATA!W8:'RV_DATA'!W14, 1510401827, RV_DATA!I8:'RV_DATA'!I14), 6)</f>
        <v>2.1000000000000001E-2</v>
      </c>
      <c r="E13" s="42">
        <f>ROUND(RV_DATA!N13, 6)</f>
        <v>25888.1</v>
      </c>
      <c r="F13" s="42">
        <f>ROUND(SUMIF(RV_DATA!W8:'RV_DATA'!W14, 1510401827, RV_DATA!O8:'RV_DATA'!O14), 6)</f>
        <v>543.65</v>
      </c>
      <c r="AK13">
        <v>3</v>
      </c>
    </row>
    <row r="14" spans="1:37" ht="14.25" x14ac:dyDescent="0.2">
      <c r="A14" s="39" t="s">
        <v>303</v>
      </c>
      <c r="B14" s="40" t="s">
        <v>305</v>
      </c>
      <c r="C14" s="40" t="s">
        <v>38</v>
      </c>
      <c r="D14" s="41">
        <f>ROUND(SUMIF(RV_DATA!W8:'RV_DATA'!W14, 1411454429, RV_DATA!I8:'RV_DATA'!I14), 6)</f>
        <v>0.84</v>
      </c>
      <c r="E14" s="42">
        <f>ROUND(RV_DATA!N9, 6)</f>
        <v>35.25</v>
      </c>
      <c r="F14" s="42">
        <f>ROUND(SUMIF(RV_DATA!W8:'RV_DATA'!W14, 1411454429, RV_DATA!O8:'RV_DATA'!O14), 6)</f>
        <v>29.61</v>
      </c>
      <c r="AK14">
        <v>3</v>
      </c>
    </row>
    <row r="15" spans="1:37" ht="28.5" x14ac:dyDescent="0.2">
      <c r="A15" s="39" t="s">
        <v>66</v>
      </c>
      <c r="B15" s="40" t="s">
        <v>67</v>
      </c>
      <c r="C15" s="40" t="s">
        <v>68</v>
      </c>
      <c r="D15" s="41">
        <f>ROUND(SUMIF(RV_DATA!W8:'RV_DATA'!W14, -1897797422, RV_DATA!I8:'RV_DATA'!I14), 6)</f>
        <v>4.165</v>
      </c>
      <c r="E15" s="42">
        <f>ROUND(RV_DATA!N14, 6)</f>
        <v>2652.04</v>
      </c>
      <c r="F15" s="42">
        <f>ROUND(SUMIF(RV_DATA!W8:'RV_DATA'!W14, -1897797422, RV_DATA!O8:'RV_DATA'!O14), 6)</f>
        <v>11045.75</v>
      </c>
      <c r="AK15">
        <v>3</v>
      </c>
    </row>
    <row r="16" spans="1:37" ht="85.5" x14ac:dyDescent="0.2">
      <c r="A16" s="39" t="s">
        <v>47</v>
      </c>
      <c r="B16" s="40" t="s">
        <v>48</v>
      </c>
      <c r="C16" s="40"/>
      <c r="D16" s="41">
        <f>ROUND(SUMIF(RV_DATA!W8:'RV_DATA'!W14, 179020775, RV_DATA!I8:'RV_DATA'!I14), 6)</f>
        <v>22.05</v>
      </c>
      <c r="E16" s="42">
        <f>ROUND(RV_DATA!N8, 6)</f>
        <v>100.3</v>
      </c>
      <c r="F16" s="42">
        <f>ROUND(SUMIF(RV_DATA!W8:'RV_DATA'!W14, 179020775, RV_DATA!O8:'RV_DATA'!O14), 6)</f>
        <v>2211.62</v>
      </c>
      <c r="AK16">
        <v>3</v>
      </c>
    </row>
    <row r="17" spans="1:37" ht="15" x14ac:dyDescent="0.25">
      <c r="A17" s="78" t="s">
        <v>509</v>
      </c>
      <c r="B17" s="78"/>
      <c r="C17" s="78"/>
      <c r="D17" s="78"/>
      <c r="E17" s="79">
        <f>SUMIF(AK11:AK16, 3, F11:F16)</f>
        <v>33935.920000000006</v>
      </c>
      <c r="F17" s="78"/>
    </row>
    <row r="18" spans="1:37" ht="33" x14ac:dyDescent="0.2">
      <c r="A18" s="76" t="str">
        <f>CONCATENATE("Раздел: ",IF(Source!G74&lt;&gt;"Новый раздел", Source!G74, ""))</f>
        <v xml:space="preserve">Раздел: Раздел 10.1 . Устройство новых оснований площадок (детские, спортивные, воркаут) АБП </v>
      </c>
      <c r="B18" s="77"/>
      <c r="C18" s="77"/>
      <c r="D18" s="77"/>
      <c r="E18" s="77"/>
      <c r="F18" s="77"/>
      <c r="AI18" s="37" t="s">
        <v>510</v>
      </c>
    </row>
    <row r="19" spans="1:37" ht="14.25" x14ac:dyDescent="0.2">
      <c r="A19" s="80" t="s">
        <v>508</v>
      </c>
      <c r="B19" s="81"/>
      <c r="C19" s="81"/>
      <c r="D19" s="81"/>
      <c r="E19" s="81"/>
      <c r="F19" s="81"/>
    </row>
    <row r="20" spans="1:37" ht="14.25" x14ac:dyDescent="0.2">
      <c r="A20" s="39" t="s">
        <v>300</v>
      </c>
      <c r="B20" s="40" t="s">
        <v>302</v>
      </c>
      <c r="C20" s="40" t="s">
        <v>38</v>
      </c>
      <c r="D20" s="41">
        <f>ROUND(SUMIF(RV_DATA!W16:'RV_DATA'!W21, 1585412624, RV_DATA!I16:'RV_DATA'!I21), 6)</f>
        <v>709.28</v>
      </c>
      <c r="E20" s="42">
        <f>ROUND(RV_DATA!N18, 6)</f>
        <v>590.78</v>
      </c>
      <c r="F20" s="42">
        <f>ROUND(SUMIF(RV_DATA!W16:'RV_DATA'!W21, 1585412624, RV_DATA!O16:'RV_DATA'!O21), 6)</f>
        <v>419028.44</v>
      </c>
      <c r="AK20">
        <v>3</v>
      </c>
    </row>
    <row r="21" spans="1:37" ht="42.75" x14ac:dyDescent="0.2">
      <c r="A21" s="39" t="s">
        <v>315</v>
      </c>
      <c r="B21" s="40" t="s">
        <v>317</v>
      </c>
      <c r="C21" s="40" t="s">
        <v>38</v>
      </c>
      <c r="D21" s="41">
        <f>ROUND(SUMIF(RV_DATA!W16:'RV_DATA'!W21, -100050385, RV_DATA!I16:'RV_DATA'!I21), 6)</f>
        <v>595.42560000000003</v>
      </c>
      <c r="E21" s="42">
        <f>ROUND(RV_DATA!N20, 6)</f>
        <v>1763.75</v>
      </c>
      <c r="F21" s="42">
        <f>ROUND(SUMIF(RV_DATA!W16:'RV_DATA'!W21, -100050385, RV_DATA!O16:'RV_DATA'!O21), 6)</f>
        <v>1050181.8999999999</v>
      </c>
      <c r="AK21">
        <v>3</v>
      </c>
    </row>
    <row r="22" spans="1:37" ht="28.5" x14ac:dyDescent="0.2">
      <c r="A22" s="39" t="s">
        <v>318</v>
      </c>
      <c r="B22" s="40" t="s">
        <v>320</v>
      </c>
      <c r="C22" s="40" t="s">
        <v>68</v>
      </c>
      <c r="D22" s="41">
        <f>ROUND(SUMIF(RV_DATA!W16:'RV_DATA'!W21, 1510401827, RV_DATA!I16:'RV_DATA'!I21), 6)</f>
        <v>1.44</v>
      </c>
      <c r="E22" s="42">
        <f>ROUND(RV_DATA!N21, 6)</f>
        <v>25888.1</v>
      </c>
      <c r="F22" s="42">
        <f>ROUND(SUMIF(RV_DATA!W16:'RV_DATA'!W21, 1510401827, RV_DATA!O16:'RV_DATA'!O21), 6)</f>
        <v>37278.959999999999</v>
      </c>
      <c r="AK22">
        <v>3</v>
      </c>
    </row>
    <row r="23" spans="1:37" ht="14.25" x14ac:dyDescent="0.2">
      <c r="A23" s="39" t="s">
        <v>303</v>
      </c>
      <c r="B23" s="40" t="s">
        <v>305</v>
      </c>
      <c r="C23" s="40" t="s">
        <v>38</v>
      </c>
      <c r="D23" s="41">
        <f>ROUND(SUMIF(RV_DATA!W16:'RV_DATA'!W21, 1411454429, RV_DATA!I16:'RV_DATA'!I21), 6)</f>
        <v>65.319199999999995</v>
      </c>
      <c r="E23" s="42">
        <f>ROUND(RV_DATA!N17, 6)</f>
        <v>35.25</v>
      </c>
      <c r="F23" s="42">
        <f>ROUND(SUMIF(RV_DATA!W16:'RV_DATA'!W21, 1411454429, RV_DATA!O16:'RV_DATA'!O21), 6)</f>
        <v>2302.5</v>
      </c>
      <c r="AK23">
        <v>3</v>
      </c>
    </row>
    <row r="24" spans="1:37" ht="85.5" x14ac:dyDescent="0.2">
      <c r="A24" s="39" t="s">
        <v>47</v>
      </c>
      <c r="B24" s="40" t="s">
        <v>48</v>
      </c>
      <c r="C24" s="40"/>
      <c r="D24" s="41">
        <f>ROUND(SUMIF(RV_DATA!W16:'RV_DATA'!W21, 179020775, RV_DATA!I16:'RV_DATA'!I21), 6)</f>
        <v>1895.712</v>
      </c>
      <c r="E24" s="42">
        <f>ROUND(RV_DATA!N16, 6)</f>
        <v>100.3</v>
      </c>
      <c r="F24" s="42">
        <f>ROUND(SUMIF(RV_DATA!W16:'RV_DATA'!W21, 179020775, RV_DATA!O16:'RV_DATA'!O21), 6)</f>
        <v>190139.91</v>
      </c>
      <c r="AK24">
        <v>3</v>
      </c>
    </row>
    <row r="25" spans="1:37" ht="15" x14ac:dyDescent="0.25">
      <c r="A25" s="78" t="s">
        <v>509</v>
      </c>
      <c r="B25" s="78"/>
      <c r="C25" s="78"/>
      <c r="D25" s="78"/>
      <c r="E25" s="79">
        <f>SUMIF(AK20:AK24, 3, F20:F24)</f>
        <v>1698931.7099999997</v>
      </c>
      <c r="F25" s="78"/>
    </row>
    <row r="26" spans="1:37" ht="33" x14ac:dyDescent="0.2">
      <c r="A26" s="76" t="str">
        <f>CONCATENATE("Раздел: ",IF(Source!G122&lt;&gt;"Новый раздел", Source!G122, ""))</f>
        <v xml:space="preserve">Раздел: Раздел 11. Замена\устройство бортового камня садового(для оснований площадок детских, спортивных, воркаут) </v>
      </c>
      <c r="B26" s="77"/>
      <c r="C26" s="77"/>
      <c r="D26" s="77"/>
      <c r="E26" s="77"/>
      <c r="F26" s="77"/>
      <c r="AI26" s="37" t="s">
        <v>511</v>
      </c>
    </row>
    <row r="27" spans="1:37" ht="14.25" x14ac:dyDescent="0.2">
      <c r="A27" s="80" t="s">
        <v>508</v>
      </c>
      <c r="B27" s="81"/>
      <c r="C27" s="81"/>
      <c r="D27" s="81"/>
      <c r="E27" s="81"/>
      <c r="F27" s="81"/>
    </row>
    <row r="28" spans="1:37" ht="14.25" x14ac:dyDescent="0.2">
      <c r="A28" s="39" t="s">
        <v>300</v>
      </c>
      <c r="B28" s="40" t="s">
        <v>302</v>
      </c>
      <c r="C28" s="40" t="s">
        <v>38</v>
      </c>
      <c r="D28" s="41">
        <f>ROUND(SUMIF(RV_DATA!W23:'RV_DATA'!W28, 1585412624, RV_DATA!I23:'RV_DATA'!I28), 6)</f>
        <v>7.0949999999999998</v>
      </c>
      <c r="E28" s="42">
        <f>ROUND(RV_DATA!N25, 6)</f>
        <v>590.78</v>
      </c>
      <c r="F28" s="42">
        <f>ROUND(SUMIF(RV_DATA!W23:'RV_DATA'!W28, 1585412624, RV_DATA!O23:'RV_DATA'!O28), 6)</f>
        <v>4191.58</v>
      </c>
      <c r="AK28">
        <v>3</v>
      </c>
    </row>
    <row r="29" spans="1:37" ht="14.25" x14ac:dyDescent="0.2">
      <c r="A29" s="39" t="s">
        <v>303</v>
      </c>
      <c r="B29" s="40" t="s">
        <v>305</v>
      </c>
      <c r="C29" s="40" t="s">
        <v>38</v>
      </c>
      <c r="D29" s="41">
        <f>ROUND(SUMIF(RV_DATA!W23:'RV_DATA'!W28, 1411454429, RV_DATA!I23:'RV_DATA'!I28), 6)</f>
        <v>0.32250000000000001</v>
      </c>
      <c r="E29" s="42">
        <f>ROUND(RV_DATA!N24, 6)</f>
        <v>35.25</v>
      </c>
      <c r="F29" s="42">
        <f>ROUND(SUMIF(RV_DATA!W23:'RV_DATA'!W28, 1411454429, RV_DATA!O23:'RV_DATA'!O28), 6)</f>
        <v>11.37</v>
      </c>
      <c r="AK29">
        <v>3</v>
      </c>
    </row>
    <row r="30" spans="1:37" ht="57" x14ac:dyDescent="0.2">
      <c r="A30" s="39" t="s">
        <v>330</v>
      </c>
      <c r="B30" s="40" t="s">
        <v>332</v>
      </c>
      <c r="C30" s="40" t="s">
        <v>38</v>
      </c>
      <c r="D30" s="41">
        <f>ROUND(SUMIF(RV_DATA!W23:'RV_DATA'!W28, -887866689, RV_DATA!I23:'RV_DATA'!I28), 6)</f>
        <v>24.768000000000001</v>
      </c>
      <c r="E30" s="42">
        <f>ROUND(RV_DATA!N28, 6)</f>
        <v>3714.73</v>
      </c>
      <c r="F30" s="42">
        <f>ROUND(SUMIF(RV_DATA!W23:'RV_DATA'!W28, -887866689, RV_DATA!O23:'RV_DATA'!O28), 6)</f>
        <v>92006.41</v>
      </c>
      <c r="AK30">
        <v>3</v>
      </c>
    </row>
    <row r="31" spans="1:37" ht="14.25" x14ac:dyDescent="0.2">
      <c r="A31" s="39" t="s">
        <v>333</v>
      </c>
      <c r="B31" s="40" t="s">
        <v>335</v>
      </c>
      <c r="C31" s="40" t="s">
        <v>38</v>
      </c>
      <c r="D31" s="41">
        <f>ROUND(SUMIF(RV_DATA!W23:'RV_DATA'!W28, 1066234070, RV_DATA!I23:'RV_DATA'!I28), 6)</f>
        <v>0.1032</v>
      </c>
      <c r="E31" s="42">
        <f>ROUND(RV_DATA!N27, 6)</f>
        <v>3392.59</v>
      </c>
      <c r="F31" s="42">
        <f>ROUND(SUMIF(RV_DATA!W23:'RV_DATA'!W28, 1066234070, RV_DATA!O23:'RV_DATA'!O28), 6)</f>
        <v>350.11</v>
      </c>
      <c r="AK31">
        <v>3</v>
      </c>
    </row>
    <row r="32" spans="1:37" ht="28.5" x14ac:dyDescent="0.2">
      <c r="A32" s="39" t="s">
        <v>336</v>
      </c>
      <c r="B32" s="40" t="s">
        <v>338</v>
      </c>
      <c r="C32" s="40" t="s">
        <v>38</v>
      </c>
      <c r="D32" s="41">
        <f>ROUND(SUMIF(RV_DATA!W23:'RV_DATA'!W28, -1801759247, RV_DATA!I23:'RV_DATA'!I28), 6)</f>
        <v>8.2560000000000002</v>
      </c>
      <c r="E32" s="42">
        <f>ROUND(RV_DATA!N26, 6)</f>
        <v>9014.9</v>
      </c>
      <c r="F32" s="42">
        <f>ROUND(SUMIF(RV_DATA!W23:'RV_DATA'!W28, -1801759247, RV_DATA!O23:'RV_DATA'!O28), 6)</f>
        <v>74427.009999999995</v>
      </c>
      <c r="AK32">
        <v>3</v>
      </c>
    </row>
    <row r="33" spans="1:37" ht="114" x14ac:dyDescent="0.2">
      <c r="A33" s="39" t="s">
        <v>47</v>
      </c>
      <c r="B33" s="40" t="s">
        <v>167</v>
      </c>
      <c r="C33" s="40" t="s">
        <v>68</v>
      </c>
      <c r="D33" s="41">
        <f>ROUND(SUMIF(RV_DATA!W23:'RV_DATA'!W28, -909607440, RV_DATA!I23:'RV_DATA'!I28), 6)</f>
        <v>92.943359999999998</v>
      </c>
      <c r="E33" s="42">
        <f>ROUND(RV_DATA!N23, 6)</f>
        <v>150.61000000000001</v>
      </c>
      <c r="F33" s="42">
        <f>ROUND(SUMIF(RV_DATA!W23:'RV_DATA'!W28, -909607440, RV_DATA!O23:'RV_DATA'!O28), 6)</f>
        <v>13998.2</v>
      </c>
      <c r="AK33">
        <v>3</v>
      </c>
    </row>
    <row r="34" spans="1:37" ht="15" x14ac:dyDescent="0.25">
      <c r="A34" s="78" t="s">
        <v>509</v>
      </c>
      <c r="B34" s="78"/>
      <c r="C34" s="78"/>
      <c r="D34" s="78"/>
      <c r="E34" s="79">
        <f>SUMIF(AK28:AK33, 3, F28:F33)</f>
        <v>184984.68</v>
      </c>
      <c r="F34" s="78"/>
    </row>
    <row r="35" spans="1:37" ht="16.5" x14ac:dyDescent="0.2">
      <c r="A35" s="76" t="str">
        <f>CONCATENATE("Раздел: ",IF(Source!G168&lt;&gt;"Новый раздел", Source!G168, ""))</f>
        <v>Раздел: Раздел 20.2 Ремонт газона (посевной) 10см</v>
      </c>
      <c r="B35" s="77"/>
      <c r="C35" s="77"/>
      <c r="D35" s="77"/>
      <c r="E35" s="77"/>
      <c r="F35" s="77"/>
    </row>
    <row r="36" spans="1:37" ht="14.25" x14ac:dyDescent="0.2">
      <c r="A36" s="80" t="s">
        <v>508</v>
      </c>
      <c r="B36" s="81"/>
      <c r="C36" s="81"/>
      <c r="D36" s="81"/>
      <c r="E36" s="81"/>
      <c r="F36" s="81"/>
    </row>
    <row r="37" spans="1:37" ht="14.25" x14ac:dyDescent="0.2">
      <c r="A37" s="39" t="s">
        <v>303</v>
      </c>
      <c r="B37" s="40" t="s">
        <v>305</v>
      </c>
      <c r="C37" s="40" t="s">
        <v>38</v>
      </c>
      <c r="D37" s="41">
        <f>ROUND(SUMIF(RV_DATA!W30:'RV_DATA'!W35, 1411454429, RV_DATA!I30:'RV_DATA'!I35), 6)</f>
        <v>57</v>
      </c>
      <c r="E37" s="42">
        <f>ROUND(RV_DATA!N35, 6)</f>
        <v>35.25</v>
      </c>
      <c r="F37" s="42">
        <f>ROUND(SUMIF(RV_DATA!W30:'RV_DATA'!W35, 1411454429, RV_DATA!O30:'RV_DATA'!O35), 6)</f>
        <v>2009.25</v>
      </c>
      <c r="AK37">
        <v>3</v>
      </c>
    </row>
    <row r="38" spans="1:37" ht="28.5" x14ac:dyDescent="0.2">
      <c r="A38" s="39" t="s">
        <v>348</v>
      </c>
      <c r="B38" s="40" t="s">
        <v>350</v>
      </c>
      <c r="C38" s="40" t="s">
        <v>228</v>
      </c>
      <c r="D38" s="41">
        <f>ROUND(SUMIF(RV_DATA!W30:'RV_DATA'!W35, -1954691867, RV_DATA!I30:'RV_DATA'!I35), 6)</f>
        <v>22.8</v>
      </c>
      <c r="E38" s="42">
        <f>ROUND(RV_DATA!N34, 6)</f>
        <v>303.08999999999997</v>
      </c>
      <c r="F38" s="42">
        <f>ROUND(SUMIF(RV_DATA!W30:'RV_DATA'!W35, -1954691867, RV_DATA!O30:'RV_DATA'!O35), 6)</f>
        <v>6910.45</v>
      </c>
      <c r="AK38">
        <v>3</v>
      </c>
    </row>
    <row r="39" spans="1:37" ht="14.25" x14ac:dyDescent="0.2">
      <c r="A39" s="39" t="s">
        <v>345</v>
      </c>
      <c r="B39" s="40" t="s">
        <v>347</v>
      </c>
      <c r="C39" s="40" t="s">
        <v>38</v>
      </c>
      <c r="D39" s="41">
        <f>ROUND(SUMIF(RV_DATA!W30:'RV_DATA'!W35, 1365262818, RV_DATA!I30:'RV_DATA'!I35), 6)</f>
        <v>57</v>
      </c>
      <c r="E39" s="42">
        <f>ROUND(RV_DATA!N31, 6)</f>
        <v>753.67</v>
      </c>
      <c r="F39" s="42">
        <f>ROUND(SUMIF(RV_DATA!W30:'RV_DATA'!W35, 1365262818, RV_DATA!O30:'RV_DATA'!O35), 6)</f>
        <v>42959.19</v>
      </c>
      <c r="AK39">
        <v>3</v>
      </c>
    </row>
    <row r="40" spans="1:37" ht="85.5" x14ac:dyDescent="0.2">
      <c r="A40" s="39" t="s">
        <v>47</v>
      </c>
      <c r="B40" s="40" t="s">
        <v>48</v>
      </c>
      <c r="C40" s="40"/>
      <c r="D40" s="41">
        <f>ROUND(SUMIF(RV_DATA!W30:'RV_DATA'!W35, 179020775, RV_DATA!I30:'RV_DATA'!I35), 6)</f>
        <v>79.8</v>
      </c>
      <c r="E40" s="42">
        <f>ROUND(RV_DATA!N30, 6)</f>
        <v>100.3</v>
      </c>
      <c r="F40" s="42">
        <f>ROUND(SUMIF(RV_DATA!W30:'RV_DATA'!W35, 179020775, RV_DATA!O30:'RV_DATA'!O35), 6)</f>
        <v>8003.94</v>
      </c>
      <c r="AK40">
        <v>3</v>
      </c>
    </row>
    <row r="41" spans="1:37" ht="15" x14ac:dyDescent="0.25">
      <c r="A41" s="78" t="s">
        <v>509</v>
      </c>
      <c r="B41" s="78"/>
      <c r="C41" s="78"/>
      <c r="D41" s="78"/>
      <c r="E41" s="79">
        <f>SUMIF(AK37:AK40, 3, F37:F40)</f>
        <v>59882.83</v>
      </c>
      <c r="F41" s="78"/>
    </row>
    <row r="42" spans="1:37" ht="16.5" x14ac:dyDescent="0.2">
      <c r="A42" s="76" t="str">
        <f>CONCATENATE("Раздел: ",IF(Source!G215&lt;&gt;"Новый раздел", Source!G215, ""))</f>
        <v>Раздел: 22.1 Посадка деревьев с комо 0,8х0,6м, высотой от 3м - 8 шт.</v>
      </c>
      <c r="B42" s="77"/>
      <c r="C42" s="77"/>
      <c r="D42" s="77"/>
      <c r="E42" s="77"/>
      <c r="F42" s="77"/>
    </row>
    <row r="43" spans="1:37" ht="14.25" x14ac:dyDescent="0.2">
      <c r="A43" s="80" t="s">
        <v>508</v>
      </c>
      <c r="B43" s="81"/>
      <c r="C43" s="81"/>
      <c r="D43" s="81"/>
      <c r="E43" s="81"/>
      <c r="F43" s="81"/>
    </row>
    <row r="44" spans="1:37" ht="14.25" x14ac:dyDescent="0.2">
      <c r="A44" s="39" t="s">
        <v>357</v>
      </c>
      <c r="B44" s="40" t="s">
        <v>359</v>
      </c>
      <c r="C44" s="40" t="s">
        <v>223</v>
      </c>
      <c r="D44" s="41">
        <f>ROUND(SUMIF(RV_DATA!W37:'RV_DATA'!W45, -1413124159, RV_DATA!I37:'RV_DATA'!I45), 6)</f>
        <v>1.2</v>
      </c>
      <c r="E44" s="42">
        <f>ROUND(RV_DATA!N44, 6)</f>
        <v>91.89</v>
      </c>
      <c r="F44" s="42">
        <f>ROUND(SUMIF(RV_DATA!W37:'RV_DATA'!W45, -1413124159, RV_DATA!O37:'RV_DATA'!O45), 6)</f>
        <v>110.27</v>
      </c>
      <c r="AK44">
        <v>3</v>
      </c>
    </row>
    <row r="45" spans="1:37" ht="14.25" x14ac:dyDescent="0.2">
      <c r="A45" s="39" t="s">
        <v>360</v>
      </c>
      <c r="B45" s="40" t="s">
        <v>362</v>
      </c>
      <c r="C45" s="40" t="s">
        <v>228</v>
      </c>
      <c r="D45" s="41">
        <f>ROUND(SUMIF(RV_DATA!W37:'RV_DATA'!W45, -1880973672, RV_DATA!I37:'RV_DATA'!I45), 6)</f>
        <v>0.24</v>
      </c>
      <c r="E45" s="42">
        <f>ROUND(RV_DATA!N43, 6)</f>
        <v>171.21</v>
      </c>
      <c r="F45" s="42">
        <f>ROUND(SUMIF(RV_DATA!W37:'RV_DATA'!W45, -1880973672, RV_DATA!O37:'RV_DATA'!O45), 6)</f>
        <v>41.09</v>
      </c>
      <c r="AK45">
        <v>3</v>
      </c>
    </row>
    <row r="46" spans="1:37" ht="14.25" x14ac:dyDescent="0.2">
      <c r="A46" s="39" t="s">
        <v>303</v>
      </c>
      <c r="B46" s="40" t="s">
        <v>305</v>
      </c>
      <c r="C46" s="40" t="s">
        <v>38</v>
      </c>
      <c r="D46" s="41">
        <f>ROUND(SUMIF(RV_DATA!W37:'RV_DATA'!W45, 1411454429, RV_DATA!I37:'RV_DATA'!I45), 6)</f>
        <v>2.08</v>
      </c>
      <c r="E46" s="42">
        <f>ROUND(RV_DATA!N42, 6)</f>
        <v>35.25</v>
      </c>
      <c r="F46" s="42">
        <f>ROUND(SUMIF(RV_DATA!W37:'RV_DATA'!W45, 1411454429, RV_DATA!O37:'RV_DATA'!O45), 6)</f>
        <v>73.319999999999993</v>
      </c>
      <c r="AK46">
        <v>3</v>
      </c>
    </row>
    <row r="47" spans="1:37" ht="71.25" x14ac:dyDescent="0.2">
      <c r="A47" s="39" t="s">
        <v>212</v>
      </c>
      <c r="B47" s="40" t="s">
        <v>213</v>
      </c>
      <c r="C47" s="40" t="s">
        <v>214</v>
      </c>
      <c r="D47" s="41">
        <f>ROUND(SUMIF(RV_DATA!W37:'RV_DATA'!W45, 2009770226, RV_DATA!I37:'RV_DATA'!I45), 6)</f>
        <v>8</v>
      </c>
      <c r="E47" s="42">
        <f>ROUND(RV_DATA!N45, 6)</f>
        <v>2961.58</v>
      </c>
      <c r="F47" s="42">
        <f>ROUND(SUMIF(RV_DATA!W37:'RV_DATA'!W45, 2009770226, RV_DATA!O37:'RV_DATA'!O45), 6)</f>
        <v>23692.639999999999</v>
      </c>
      <c r="AK47">
        <v>3</v>
      </c>
    </row>
    <row r="48" spans="1:37" ht="14.25" x14ac:dyDescent="0.2">
      <c r="A48" s="39" t="s">
        <v>354</v>
      </c>
      <c r="B48" s="40" t="s">
        <v>356</v>
      </c>
      <c r="C48" s="40" t="s">
        <v>38</v>
      </c>
      <c r="D48" s="41">
        <f>ROUND(SUMIF(RV_DATA!W37:'RV_DATA'!W45, -1598244433, RV_DATA!I37:'RV_DATA'!I45), 6)</f>
        <v>1.68</v>
      </c>
      <c r="E48" s="42">
        <f>ROUND(RV_DATA!N38, 6)</f>
        <v>810.33</v>
      </c>
      <c r="F48" s="42">
        <f>ROUND(SUMIF(RV_DATA!W37:'RV_DATA'!W45, -1598244433, RV_DATA!O37:'RV_DATA'!O45), 6)</f>
        <v>1361.35</v>
      </c>
      <c r="AK48">
        <v>3</v>
      </c>
    </row>
    <row r="49" spans="1:37" ht="14.25" x14ac:dyDescent="0.2">
      <c r="A49" s="39" t="s">
        <v>345</v>
      </c>
      <c r="B49" s="40" t="s">
        <v>347</v>
      </c>
      <c r="C49" s="40" t="s">
        <v>38</v>
      </c>
      <c r="D49" s="41">
        <f>ROUND(SUMIF(RV_DATA!W37:'RV_DATA'!W45, 1365262818, RV_DATA!I37:'RV_DATA'!I45), 6)</f>
        <v>4.96</v>
      </c>
      <c r="E49" s="42">
        <f>ROUND(RV_DATA!N37, 6)</f>
        <v>753.67</v>
      </c>
      <c r="F49" s="42">
        <f>ROUND(SUMIF(RV_DATA!W37:'RV_DATA'!W45, 1365262818, RV_DATA!O37:'RV_DATA'!O45), 6)</f>
        <v>3738.2</v>
      </c>
      <c r="AK49">
        <v>3</v>
      </c>
    </row>
    <row r="50" spans="1:37" ht="28.5" x14ac:dyDescent="0.2">
      <c r="A50" s="39" t="s">
        <v>363</v>
      </c>
      <c r="B50" s="40" t="s">
        <v>365</v>
      </c>
      <c r="C50" s="40" t="s">
        <v>38</v>
      </c>
      <c r="D50" s="41">
        <f>ROUND(SUMIF(RV_DATA!W37:'RV_DATA'!W45, -2092237856, RV_DATA!I37:'RV_DATA'!I45), 6)</f>
        <v>0.12672</v>
      </c>
      <c r="E50" s="42">
        <f>ROUND(RV_DATA!N41, 6)</f>
        <v>3467</v>
      </c>
      <c r="F50" s="42">
        <f>ROUND(SUMIF(RV_DATA!W37:'RV_DATA'!W45, -2092237856, RV_DATA!O37:'RV_DATA'!O45), 6)</f>
        <v>439.34</v>
      </c>
      <c r="AK50">
        <v>3</v>
      </c>
    </row>
    <row r="51" spans="1:37" ht="15" x14ac:dyDescent="0.25">
      <c r="A51" s="78" t="s">
        <v>509</v>
      </c>
      <c r="B51" s="78"/>
      <c r="C51" s="78"/>
      <c r="D51" s="78"/>
      <c r="E51" s="79">
        <f>SUMIF(AK44:AK50, 3, F44:F50)</f>
        <v>29456.21</v>
      </c>
      <c r="F51" s="78"/>
    </row>
    <row r="52" spans="1:37" ht="33" x14ac:dyDescent="0.2">
      <c r="A52" s="76" t="str">
        <f>CONCATENATE("Раздел: ",IF(Source!G253&lt;&gt;"Новый раздел", Source!G253, ""))</f>
        <v xml:space="preserve">Раздел: Раздел 24.1 Устройство покрытия на площадке для игровых видов спорта (1 см - EPDM) </v>
      </c>
      <c r="B52" s="77"/>
      <c r="C52" s="77"/>
      <c r="D52" s="77"/>
      <c r="E52" s="77"/>
      <c r="F52" s="77"/>
      <c r="AI52" s="37" t="s">
        <v>512</v>
      </c>
    </row>
    <row r="53" spans="1:37" ht="14.25" x14ac:dyDescent="0.2">
      <c r="A53" s="80" t="s">
        <v>508</v>
      </c>
      <c r="B53" s="81"/>
      <c r="C53" s="81"/>
      <c r="D53" s="81"/>
      <c r="E53" s="81"/>
      <c r="F53" s="81"/>
    </row>
    <row r="54" spans="1:37" ht="14.25" x14ac:dyDescent="0.2">
      <c r="A54" s="39" t="s">
        <v>378</v>
      </c>
      <c r="B54" s="40" t="s">
        <v>380</v>
      </c>
      <c r="C54" s="40" t="s">
        <v>68</v>
      </c>
      <c r="D54" s="41">
        <f>ROUND(SUMIF(RV_DATA!W47:'RV_DATA'!W50, -588394673, RV_DATA!I47:'RV_DATA'!I50), 6)</f>
        <v>4.41E-2</v>
      </c>
      <c r="E54" s="42">
        <f>ROUND(RV_DATA!N49, 6)</f>
        <v>343020.03</v>
      </c>
      <c r="F54" s="42">
        <f>ROUND(SUMIF(RV_DATA!W47:'RV_DATA'!W50, -588394673, RV_DATA!O47:'RV_DATA'!O50), 6)</f>
        <v>15127.14</v>
      </c>
      <c r="AK54">
        <v>3</v>
      </c>
    </row>
    <row r="55" spans="1:37" ht="42.75" x14ac:dyDescent="0.2">
      <c r="A55" s="39" t="s">
        <v>231</v>
      </c>
      <c r="B55" s="40" t="s">
        <v>232</v>
      </c>
      <c r="C55" s="40" t="s">
        <v>228</v>
      </c>
      <c r="D55" s="41">
        <f>ROUND(SUMIF(RV_DATA!W47:'RV_DATA'!W50, 886629262, RV_DATA!I47:'RV_DATA'!I50), 6)</f>
        <v>10290</v>
      </c>
      <c r="E55" s="42">
        <f>ROUND(RV_DATA!N50, 6)</f>
        <v>94.72</v>
      </c>
      <c r="F55" s="42">
        <f>ROUND(SUMIF(RV_DATA!W47:'RV_DATA'!W50, 886629262, RV_DATA!O47:'RV_DATA'!O50), 6)</f>
        <v>974668.80000000005</v>
      </c>
      <c r="AK55">
        <v>3</v>
      </c>
    </row>
    <row r="56" spans="1:37" ht="57" x14ac:dyDescent="0.2">
      <c r="A56" s="39" t="s">
        <v>381</v>
      </c>
      <c r="B56" s="40" t="s">
        <v>383</v>
      </c>
      <c r="C56" s="40" t="s">
        <v>228</v>
      </c>
      <c r="D56" s="41">
        <f>ROUND(SUMIF(RV_DATA!W47:'RV_DATA'!W50, 2130616076, RV_DATA!I47:'RV_DATA'!I50), 6)</f>
        <v>3381</v>
      </c>
      <c r="E56" s="42">
        <f>ROUND(RV_DATA!N48, 6)</f>
        <v>202.34</v>
      </c>
      <c r="F56" s="42">
        <f>ROUND(SUMIF(RV_DATA!W47:'RV_DATA'!W50, 2130616076, RV_DATA!O47:'RV_DATA'!O50), 6)</f>
        <v>684111.54</v>
      </c>
      <c r="AK56">
        <v>3</v>
      </c>
    </row>
    <row r="57" spans="1:37" ht="28.5" x14ac:dyDescent="0.2">
      <c r="A57" s="39" t="s">
        <v>384</v>
      </c>
      <c r="B57" s="40" t="s">
        <v>386</v>
      </c>
      <c r="C57" s="40" t="s">
        <v>68</v>
      </c>
      <c r="D57" s="41">
        <f>ROUND(SUMIF(RV_DATA!W47:'RV_DATA'!W50, -308535249, RV_DATA!I47:'RV_DATA'!I50), 6)</f>
        <v>0.73499999999999999</v>
      </c>
      <c r="E57" s="42">
        <f>ROUND(RV_DATA!N47, 6)</f>
        <v>748299.67</v>
      </c>
      <c r="F57" s="42">
        <f>ROUND(SUMIF(RV_DATA!W47:'RV_DATA'!W50, -308535249, RV_DATA!O47:'RV_DATA'!O50), 6)</f>
        <v>550000.22</v>
      </c>
      <c r="AK57">
        <v>3</v>
      </c>
    </row>
    <row r="58" spans="1:37" ht="15" x14ac:dyDescent="0.25">
      <c r="A58" s="78" t="s">
        <v>509</v>
      </c>
      <c r="B58" s="78"/>
      <c r="C58" s="78"/>
      <c r="D58" s="78"/>
      <c r="E58" s="79">
        <f>SUMIF(AK54:AK57, 3, F54:F57)</f>
        <v>2223907.7000000002</v>
      </c>
      <c r="F58" s="78"/>
    </row>
    <row r="59" spans="1:37" ht="33" x14ac:dyDescent="0.2">
      <c r="A59" s="76" t="str">
        <f>CONCATENATE("Раздел: ",IF(Source!G294&lt;&gt;"Новый раздел", Source!G294, ""))</f>
        <v>Раздел: Раздел 27.1 Устройство нового пешеходного покрытия из бетонной плитки - 60 м2</v>
      </c>
      <c r="B59" s="77"/>
      <c r="C59" s="77"/>
      <c r="D59" s="77"/>
      <c r="E59" s="77"/>
      <c r="F59" s="77"/>
      <c r="AI59" s="37" t="s">
        <v>513</v>
      </c>
    </row>
    <row r="60" spans="1:37" ht="14.25" x14ac:dyDescent="0.2">
      <c r="A60" s="80" t="s">
        <v>508</v>
      </c>
      <c r="B60" s="81"/>
      <c r="C60" s="81"/>
      <c r="D60" s="81"/>
      <c r="E60" s="81"/>
      <c r="F60" s="81"/>
    </row>
    <row r="61" spans="1:37" ht="14.25" x14ac:dyDescent="0.2">
      <c r="A61" s="39" t="s">
        <v>300</v>
      </c>
      <c r="B61" s="40" t="s">
        <v>302</v>
      </c>
      <c r="C61" s="40" t="s">
        <v>38</v>
      </c>
      <c r="D61" s="41">
        <f>ROUND(SUMIF(RV_DATA!W52:'RV_DATA'!W60, 1585412624, RV_DATA!I52:'RV_DATA'!I60), 6)</f>
        <v>13.2</v>
      </c>
      <c r="E61" s="42">
        <f>ROUND(RV_DATA!N54, 6)</f>
        <v>590.78</v>
      </c>
      <c r="F61" s="42">
        <f>ROUND(SUMIF(RV_DATA!W52:'RV_DATA'!W60, 1585412624, RV_DATA!O52:'RV_DATA'!O60), 6)</f>
        <v>7798.3</v>
      </c>
      <c r="AK61">
        <v>3</v>
      </c>
    </row>
    <row r="62" spans="1:37" ht="28.5" x14ac:dyDescent="0.2">
      <c r="A62" s="39" t="s">
        <v>393</v>
      </c>
      <c r="B62" s="40" t="s">
        <v>395</v>
      </c>
      <c r="C62" s="40" t="s">
        <v>38</v>
      </c>
      <c r="D62" s="41">
        <f>ROUND(SUMIF(RV_DATA!W52:'RV_DATA'!W60, 496958337, RV_DATA!I52:'RV_DATA'!I60), 6)</f>
        <v>0.126</v>
      </c>
      <c r="E62" s="42">
        <f>ROUND(RV_DATA!N59, 6)</f>
        <v>590.78</v>
      </c>
      <c r="F62" s="42">
        <f>ROUND(SUMIF(RV_DATA!W52:'RV_DATA'!W60, 496958337, RV_DATA!O52:'RV_DATA'!O60), 6)</f>
        <v>74.44</v>
      </c>
      <c r="AK62">
        <v>3</v>
      </c>
    </row>
    <row r="63" spans="1:37" ht="42.75" x14ac:dyDescent="0.2">
      <c r="A63" s="39" t="s">
        <v>315</v>
      </c>
      <c r="B63" s="40" t="s">
        <v>317</v>
      </c>
      <c r="C63" s="40" t="s">
        <v>38</v>
      </c>
      <c r="D63" s="41">
        <f>ROUND(SUMIF(RV_DATA!W52:'RV_DATA'!W60, -100050385, RV_DATA!I52:'RV_DATA'!I60), 6)</f>
        <v>9.0719999999999992</v>
      </c>
      <c r="E63" s="42">
        <f>ROUND(RV_DATA!N56, 6)</f>
        <v>1763.75</v>
      </c>
      <c r="F63" s="42">
        <f>ROUND(SUMIF(RV_DATA!W52:'RV_DATA'!W60, -100050385, RV_DATA!O52:'RV_DATA'!O60), 6)</f>
        <v>16000.74</v>
      </c>
      <c r="AK63">
        <v>3</v>
      </c>
    </row>
    <row r="64" spans="1:37" ht="14.25" x14ac:dyDescent="0.2">
      <c r="A64" s="39" t="s">
        <v>303</v>
      </c>
      <c r="B64" s="40" t="s">
        <v>305</v>
      </c>
      <c r="C64" s="40" t="s">
        <v>38</v>
      </c>
      <c r="D64" s="41">
        <f>ROUND(SUMIF(RV_DATA!W52:'RV_DATA'!W60, 1411454429, RV_DATA!I52:'RV_DATA'!I60), 6)</f>
        <v>1.1040000000000001</v>
      </c>
      <c r="E64" s="42">
        <f>ROUND(RV_DATA!N53, 6)</f>
        <v>35.25</v>
      </c>
      <c r="F64" s="42">
        <f>ROUND(SUMIF(RV_DATA!W52:'RV_DATA'!W60, 1411454429, RV_DATA!O52:'RV_DATA'!O60), 6)</f>
        <v>38.92</v>
      </c>
      <c r="AK64">
        <v>3</v>
      </c>
    </row>
    <row r="65" spans="1:37" ht="57" x14ac:dyDescent="0.2">
      <c r="A65" s="39" t="s">
        <v>396</v>
      </c>
      <c r="B65" s="40" t="s">
        <v>398</v>
      </c>
      <c r="C65" s="40" t="s">
        <v>68</v>
      </c>
      <c r="D65" s="41">
        <f>ROUND(SUMIF(RV_DATA!W52:'RV_DATA'!W60, 665434639, RV_DATA!I52:'RV_DATA'!I60), 6)</f>
        <v>5.1180000000000003</v>
      </c>
      <c r="E65" s="42">
        <f>ROUND(RV_DATA!N58, 6)</f>
        <v>3886.85</v>
      </c>
      <c r="F65" s="42">
        <f>ROUND(SUMIF(RV_DATA!W52:'RV_DATA'!W60, 665434639, RV_DATA!O52:'RV_DATA'!O60), 6)</f>
        <v>19892.900000000001</v>
      </c>
      <c r="AK65">
        <v>3</v>
      </c>
    </row>
    <row r="66" spans="1:37" ht="28.5" x14ac:dyDescent="0.2">
      <c r="A66" s="39" t="s">
        <v>248</v>
      </c>
      <c r="B66" s="40" t="s">
        <v>249</v>
      </c>
      <c r="C66" s="40" t="s">
        <v>223</v>
      </c>
      <c r="D66" s="41">
        <f>ROUND(SUMIF(RV_DATA!W52:'RV_DATA'!W60, 766657037, RV_DATA!I52:'RV_DATA'!I60), 6)</f>
        <v>60</v>
      </c>
      <c r="E66" s="42">
        <f>ROUND(RV_DATA!N60, 6)</f>
        <v>664.27</v>
      </c>
      <c r="F66" s="42">
        <f>ROUND(SUMIF(RV_DATA!W52:'RV_DATA'!W60, 766657037, RV_DATA!O52:'RV_DATA'!O60), 6)</f>
        <v>39856.199999999997</v>
      </c>
      <c r="AK66">
        <v>3</v>
      </c>
    </row>
    <row r="67" spans="1:37" ht="28.5" x14ac:dyDescent="0.2">
      <c r="A67" s="39" t="s">
        <v>399</v>
      </c>
      <c r="B67" s="40" t="s">
        <v>401</v>
      </c>
      <c r="C67" s="40" t="s">
        <v>214</v>
      </c>
      <c r="D67" s="41">
        <f>ROUND(SUMIF(RV_DATA!W52:'RV_DATA'!W60, -438588007, RV_DATA!I52:'RV_DATA'!I60), 6)</f>
        <v>0.9</v>
      </c>
      <c r="E67" s="42">
        <f>ROUND(RV_DATA!N57, 6)</f>
        <v>5215.0200000000004</v>
      </c>
      <c r="F67" s="42">
        <f>ROUND(SUMIF(RV_DATA!W52:'RV_DATA'!W60, -438588007, RV_DATA!O52:'RV_DATA'!O60), 6)</f>
        <v>4693.5200000000004</v>
      </c>
      <c r="AK67">
        <v>3</v>
      </c>
    </row>
    <row r="68" spans="1:37" ht="85.5" x14ac:dyDescent="0.2">
      <c r="A68" s="39" t="s">
        <v>47</v>
      </c>
      <c r="B68" s="40" t="s">
        <v>48</v>
      </c>
      <c r="C68" s="40"/>
      <c r="D68" s="41">
        <f>ROUND(SUMIF(RV_DATA!W52:'RV_DATA'!W60, 179020775, RV_DATA!I52:'RV_DATA'!I60), 6)</f>
        <v>36.119999999999997</v>
      </c>
      <c r="E68" s="42">
        <f>ROUND(RV_DATA!N52, 6)</f>
        <v>100.3</v>
      </c>
      <c r="F68" s="42">
        <f>ROUND(SUMIF(RV_DATA!W52:'RV_DATA'!W60, 179020775, RV_DATA!O52:'RV_DATA'!O60), 6)</f>
        <v>3622.84</v>
      </c>
      <c r="AK68">
        <v>3</v>
      </c>
    </row>
    <row r="69" spans="1:37" ht="15" x14ac:dyDescent="0.25">
      <c r="A69" s="78" t="s">
        <v>509</v>
      </c>
      <c r="B69" s="78"/>
      <c r="C69" s="78"/>
      <c r="D69" s="78"/>
      <c r="E69" s="79">
        <f>SUMIF(AK61:AK68, 3, F61:F68)</f>
        <v>91977.86</v>
      </c>
      <c r="F69" s="78"/>
    </row>
    <row r="70" spans="1:37" ht="33" x14ac:dyDescent="0.2">
      <c r="A70" s="76" t="str">
        <f>CONCATENATE("Раздел: ",IF(Source!G341&lt;&gt;"Новый раздел", Source!G341, ""))</f>
        <v xml:space="preserve">Раздел: 28. Замена/ устройство бортового камня  садового (для дорожно-тропиночной сети) </v>
      </c>
      <c r="B70" s="77"/>
      <c r="C70" s="77"/>
      <c r="D70" s="77"/>
      <c r="E70" s="77"/>
      <c r="F70" s="77"/>
      <c r="AI70" s="37" t="s">
        <v>514</v>
      </c>
    </row>
    <row r="71" spans="1:37" ht="14.25" x14ac:dyDescent="0.2">
      <c r="A71" s="80" t="s">
        <v>508</v>
      </c>
      <c r="B71" s="81"/>
      <c r="C71" s="81"/>
      <c r="D71" s="81"/>
      <c r="E71" s="81"/>
      <c r="F71" s="81"/>
    </row>
    <row r="72" spans="1:37" ht="14.25" x14ac:dyDescent="0.2">
      <c r="A72" s="39" t="s">
        <v>300</v>
      </c>
      <c r="B72" s="40" t="s">
        <v>302</v>
      </c>
      <c r="C72" s="40" t="s">
        <v>38</v>
      </c>
      <c r="D72" s="41">
        <f>ROUND(SUMIF(RV_DATA!W62:'RV_DATA'!W67, 1585412624, RV_DATA!I62:'RV_DATA'!I67), 6)</f>
        <v>1.925</v>
      </c>
      <c r="E72" s="42">
        <f>ROUND(RV_DATA!N64, 6)</f>
        <v>590.78</v>
      </c>
      <c r="F72" s="42">
        <f>ROUND(SUMIF(RV_DATA!W62:'RV_DATA'!W67, 1585412624, RV_DATA!O62:'RV_DATA'!O67), 6)</f>
        <v>1137.25</v>
      </c>
      <c r="AK72">
        <v>3</v>
      </c>
    </row>
    <row r="73" spans="1:37" ht="14.25" x14ac:dyDescent="0.2">
      <c r="A73" s="39" t="s">
        <v>303</v>
      </c>
      <c r="B73" s="40" t="s">
        <v>305</v>
      </c>
      <c r="C73" s="40" t="s">
        <v>38</v>
      </c>
      <c r="D73" s="41">
        <f>ROUND(SUMIF(RV_DATA!W62:'RV_DATA'!W67, 1411454429, RV_DATA!I62:'RV_DATA'!I67), 6)</f>
        <v>8.7499999999999994E-2</v>
      </c>
      <c r="E73" s="42">
        <f>ROUND(RV_DATA!N63, 6)</f>
        <v>35.25</v>
      </c>
      <c r="F73" s="42">
        <f>ROUND(SUMIF(RV_DATA!W62:'RV_DATA'!W67, 1411454429, RV_DATA!O62:'RV_DATA'!O67), 6)</f>
        <v>3.08</v>
      </c>
      <c r="AK73">
        <v>3</v>
      </c>
    </row>
    <row r="74" spans="1:37" ht="57" x14ac:dyDescent="0.2">
      <c r="A74" s="39" t="s">
        <v>330</v>
      </c>
      <c r="B74" s="40" t="s">
        <v>332</v>
      </c>
      <c r="C74" s="40" t="s">
        <v>38</v>
      </c>
      <c r="D74" s="41">
        <f>ROUND(SUMIF(RV_DATA!W62:'RV_DATA'!W67, -887866689, RV_DATA!I62:'RV_DATA'!I67), 6)</f>
        <v>6.72</v>
      </c>
      <c r="E74" s="42">
        <f>ROUND(RV_DATA!N67, 6)</f>
        <v>3714.73</v>
      </c>
      <c r="F74" s="42">
        <f>ROUND(SUMIF(RV_DATA!W62:'RV_DATA'!W67, -887866689, RV_DATA!O62:'RV_DATA'!O67), 6)</f>
        <v>24962.98</v>
      </c>
      <c r="AK74">
        <v>3</v>
      </c>
    </row>
    <row r="75" spans="1:37" ht="14.25" x14ac:dyDescent="0.2">
      <c r="A75" s="39" t="s">
        <v>333</v>
      </c>
      <c r="B75" s="40" t="s">
        <v>335</v>
      </c>
      <c r="C75" s="40" t="s">
        <v>38</v>
      </c>
      <c r="D75" s="41">
        <f>ROUND(SUMIF(RV_DATA!W62:'RV_DATA'!W67, 1066234070, RV_DATA!I62:'RV_DATA'!I67), 6)</f>
        <v>2.8000000000000001E-2</v>
      </c>
      <c r="E75" s="42">
        <f>ROUND(RV_DATA!N66, 6)</f>
        <v>3392.59</v>
      </c>
      <c r="F75" s="42">
        <f>ROUND(SUMIF(RV_DATA!W62:'RV_DATA'!W67, 1066234070, RV_DATA!O62:'RV_DATA'!O67), 6)</f>
        <v>94.99</v>
      </c>
      <c r="AK75">
        <v>3</v>
      </c>
    </row>
    <row r="76" spans="1:37" ht="28.5" x14ac:dyDescent="0.2">
      <c r="A76" s="39" t="s">
        <v>336</v>
      </c>
      <c r="B76" s="40" t="s">
        <v>338</v>
      </c>
      <c r="C76" s="40" t="s">
        <v>38</v>
      </c>
      <c r="D76" s="41">
        <f>ROUND(SUMIF(RV_DATA!W62:'RV_DATA'!W67, -1801759247, RV_DATA!I62:'RV_DATA'!I67), 6)</f>
        <v>2.2400000000000002</v>
      </c>
      <c r="E76" s="42">
        <f>ROUND(RV_DATA!N65, 6)</f>
        <v>9014.9</v>
      </c>
      <c r="F76" s="42">
        <f>ROUND(SUMIF(RV_DATA!W62:'RV_DATA'!W67, -1801759247, RV_DATA!O62:'RV_DATA'!O67), 6)</f>
        <v>20193.38</v>
      </c>
      <c r="AK76">
        <v>3</v>
      </c>
    </row>
    <row r="77" spans="1:37" ht="114" x14ac:dyDescent="0.2">
      <c r="A77" s="39" t="s">
        <v>47</v>
      </c>
      <c r="B77" s="40" t="s">
        <v>167</v>
      </c>
      <c r="C77" s="40" t="s">
        <v>68</v>
      </c>
      <c r="D77" s="41">
        <f>ROUND(SUMIF(RV_DATA!W62:'RV_DATA'!W67, -909607440, RV_DATA!I62:'RV_DATA'!I67), 6)</f>
        <v>21.504000000000001</v>
      </c>
      <c r="E77" s="42">
        <f>ROUND(RV_DATA!N62, 6)</f>
        <v>150.61000000000001</v>
      </c>
      <c r="F77" s="42">
        <f>ROUND(SUMIF(RV_DATA!W62:'RV_DATA'!W67, -909607440, RV_DATA!O62:'RV_DATA'!O67), 6)</f>
        <v>3238.72</v>
      </c>
      <c r="AK77">
        <v>3</v>
      </c>
    </row>
    <row r="78" spans="1:37" ht="15" x14ac:dyDescent="0.25">
      <c r="A78" s="78" t="s">
        <v>509</v>
      </c>
      <c r="B78" s="78"/>
      <c r="C78" s="78"/>
      <c r="D78" s="78"/>
      <c r="E78" s="79">
        <f>SUMIF(AK72:AK77, 3, F72:F77)</f>
        <v>49630.400000000001</v>
      </c>
      <c r="F78" s="78"/>
    </row>
    <row r="79" spans="1:37" ht="33" x14ac:dyDescent="0.2">
      <c r="A79" s="76" t="str">
        <f>CONCATENATE("Раздел: ",IF(Source!G384&lt;&gt;"Новый раздел", Source!G384, ""))</f>
        <v>Раздел: Раздел. 48 Устройство покрытия из искусственной травы - 1000 м2 (Спорт. общестрой)</v>
      </c>
      <c r="B79" s="77"/>
      <c r="C79" s="77"/>
      <c r="D79" s="77"/>
      <c r="E79" s="77"/>
      <c r="F79" s="77"/>
      <c r="AI79" s="37" t="s">
        <v>515</v>
      </c>
    </row>
    <row r="80" spans="1:37" ht="14.25" x14ac:dyDescent="0.2">
      <c r="A80" s="80" t="s">
        <v>508</v>
      </c>
      <c r="B80" s="81"/>
      <c r="C80" s="81"/>
      <c r="D80" s="81"/>
      <c r="E80" s="81"/>
      <c r="F80" s="81"/>
    </row>
    <row r="81" spans="1:37" ht="28.5" x14ac:dyDescent="0.2">
      <c r="A81" s="39" t="s">
        <v>405</v>
      </c>
      <c r="B81" s="40" t="s">
        <v>407</v>
      </c>
      <c r="C81" s="40" t="s">
        <v>408</v>
      </c>
      <c r="D81" s="41">
        <f>ROUND(SUMIF(RV_DATA!W69:'RV_DATA'!W71, 486704197, RV_DATA!I69:'RV_DATA'!I71), 6)</f>
        <v>247</v>
      </c>
      <c r="E81" s="42">
        <f>ROUND(RV_DATA!N71, 6)</f>
        <v>38.49</v>
      </c>
      <c r="F81" s="42">
        <f>ROUND(SUMIF(RV_DATA!W69:'RV_DATA'!W71, 486704197, RV_DATA!O69:'RV_DATA'!O71), 6)</f>
        <v>9507</v>
      </c>
      <c r="AK81">
        <v>3</v>
      </c>
    </row>
    <row r="82" spans="1:37" ht="42.75" x14ac:dyDescent="0.2">
      <c r="A82" s="39" t="s">
        <v>409</v>
      </c>
      <c r="B82" s="40" t="s">
        <v>411</v>
      </c>
      <c r="C82" s="40" t="s">
        <v>228</v>
      </c>
      <c r="D82" s="41">
        <f>ROUND(SUMIF(RV_DATA!W69:'RV_DATA'!W71, 974001796, RV_DATA!I69:'RV_DATA'!I71), 6)</f>
        <v>48.2</v>
      </c>
      <c r="E82" s="42">
        <f>ROUND(RV_DATA!N70, 6)</f>
        <v>256.20999999999998</v>
      </c>
      <c r="F82" s="42">
        <f>ROUND(SUMIF(RV_DATA!W69:'RV_DATA'!W71, 974001796, RV_DATA!O69:'RV_DATA'!O71), 6)</f>
        <v>12349.3</v>
      </c>
      <c r="AK82">
        <v>3</v>
      </c>
    </row>
    <row r="83" spans="1:37" ht="42.75" x14ac:dyDescent="0.2">
      <c r="A83" s="39" t="s">
        <v>412</v>
      </c>
      <c r="B83" s="40" t="s">
        <v>414</v>
      </c>
      <c r="C83" s="40" t="s">
        <v>223</v>
      </c>
      <c r="D83" s="41">
        <f>ROUND(SUMIF(RV_DATA!W69:'RV_DATA'!W71, 574248621, RV_DATA!I69:'RV_DATA'!I71), 6)</f>
        <v>1020</v>
      </c>
      <c r="E83" s="42">
        <f>ROUND(RV_DATA!N69, 6)</f>
        <v>614.99</v>
      </c>
      <c r="F83" s="42">
        <f>ROUND(SUMIF(RV_DATA!W69:'RV_DATA'!W71, 574248621, RV_DATA!O69:'RV_DATA'!O71), 6)</f>
        <v>627289.80000000005</v>
      </c>
      <c r="AK83">
        <v>3</v>
      </c>
    </row>
    <row r="84" spans="1:37" ht="15" x14ac:dyDescent="0.25">
      <c r="A84" s="78" t="s">
        <v>509</v>
      </c>
      <c r="B84" s="78"/>
      <c r="C84" s="78"/>
      <c r="D84" s="78"/>
      <c r="E84" s="79">
        <f>SUMIF(AK81:AK83, 3, F81:F83)</f>
        <v>649146.10000000009</v>
      </c>
      <c r="F84" s="78"/>
    </row>
    <row r="85" spans="1:37" ht="16.5" x14ac:dyDescent="0.2">
      <c r="A85" s="76" t="str">
        <f>CONCATENATE("Раздел: ",IF(Source!G422&lt;&gt;"Новый раздел", Source!G422, ""))</f>
        <v>Раздел: Раздел 61. Демонтажные работы (Спорт. общестрой)</v>
      </c>
      <c r="B85" s="77"/>
      <c r="C85" s="77"/>
      <c r="D85" s="77"/>
      <c r="E85" s="77"/>
      <c r="F85" s="77"/>
    </row>
  </sheetData>
  <sortState ref="A81:AL83">
    <sortCondition ref="A81"/>
  </sortState>
  <mergeCells count="45">
    <mergeCell ref="A18:F18"/>
    <mergeCell ref="A2:F2"/>
    <mergeCell ref="A3:F3"/>
    <mergeCell ref="A4:A6"/>
    <mergeCell ref="B4:B6"/>
    <mergeCell ref="C4:C6"/>
    <mergeCell ref="D4:D6"/>
    <mergeCell ref="E4:F5"/>
    <mergeCell ref="A8:F8"/>
    <mergeCell ref="A9:F9"/>
    <mergeCell ref="A10:F10"/>
    <mergeCell ref="A17:D17"/>
    <mergeCell ref="E17:F17"/>
    <mergeCell ref="A43:F43"/>
    <mergeCell ref="A19:F19"/>
    <mergeCell ref="A25:D25"/>
    <mergeCell ref="E25:F25"/>
    <mergeCell ref="A26:F26"/>
    <mergeCell ref="A27:F27"/>
    <mergeCell ref="A34:D34"/>
    <mergeCell ref="E34:F34"/>
    <mergeCell ref="A35:F35"/>
    <mergeCell ref="A36:F36"/>
    <mergeCell ref="A41:D41"/>
    <mergeCell ref="E41:F41"/>
    <mergeCell ref="A42:F42"/>
    <mergeCell ref="A71:F71"/>
    <mergeCell ref="A51:D51"/>
    <mergeCell ref="E51:F51"/>
    <mergeCell ref="A52:F52"/>
    <mergeCell ref="A53:F53"/>
    <mergeCell ref="A58:D58"/>
    <mergeCell ref="E58:F58"/>
    <mergeCell ref="A59:F59"/>
    <mergeCell ref="A60:F60"/>
    <mergeCell ref="A69:D69"/>
    <mergeCell ref="E69:F69"/>
    <mergeCell ref="A70:F70"/>
    <mergeCell ref="A85:F85"/>
    <mergeCell ref="A78:D78"/>
    <mergeCell ref="E78:F78"/>
    <mergeCell ref="A79:F79"/>
    <mergeCell ref="A80:F80"/>
    <mergeCell ref="A84:D84"/>
    <mergeCell ref="E84:F84"/>
  </mergeCells>
  <pageMargins left="0.6" right="0.4" top="0.65" bottom="0.4" header="0.4" footer="0.4"/>
  <pageSetup paperSize="9" scale="90" fitToHeight="0" orientation="portrait" verticalDpi="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5" width="15.7109375" customWidth="1"/>
    <col min="31" max="31" width="129.7109375" customWidth="1"/>
  </cols>
  <sheetData>
    <row r="1" spans="1:5" x14ac:dyDescent="0.2">
      <c r="A1" s="8" t="str">
        <f>Source!B1</f>
        <v>Smeta.RU  (495) 974-1589</v>
      </c>
    </row>
    <row r="2" spans="1:5" ht="14.25" x14ac:dyDescent="0.2">
      <c r="C2" s="10"/>
      <c r="D2" s="10"/>
    </row>
    <row r="3" spans="1:5" ht="15" x14ac:dyDescent="0.25">
      <c r="C3" s="10"/>
      <c r="D3" s="30" t="s">
        <v>426</v>
      </c>
    </row>
    <row r="4" spans="1:5" ht="15" x14ac:dyDescent="0.25">
      <c r="C4" s="30"/>
      <c r="D4" s="30"/>
    </row>
    <row r="5" spans="1:5" ht="15" x14ac:dyDescent="0.25">
      <c r="C5" s="88" t="s">
        <v>516</v>
      </c>
      <c r="D5" s="88"/>
    </row>
    <row r="6" spans="1:5" ht="15" x14ac:dyDescent="0.25">
      <c r="C6" s="43"/>
      <c r="D6" s="43"/>
    </row>
    <row r="7" spans="1:5" ht="15" x14ac:dyDescent="0.25">
      <c r="C7" s="88" t="s">
        <v>516</v>
      </c>
      <c r="D7" s="88"/>
    </row>
    <row r="8" spans="1:5" ht="15" x14ac:dyDescent="0.25">
      <c r="C8" s="43"/>
      <c r="D8" s="43"/>
    </row>
    <row r="9" spans="1:5" ht="15" x14ac:dyDescent="0.25">
      <c r="C9" s="30" t="s">
        <v>517</v>
      </c>
      <c r="D9" s="10"/>
    </row>
    <row r="10" spans="1:5" ht="14.25" x14ac:dyDescent="0.2">
      <c r="A10" s="10"/>
      <c r="B10" s="10"/>
      <c r="C10" s="10"/>
      <c r="D10" s="10"/>
      <c r="E10" s="10"/>
    </row>
    <row r="11" spans="1:5" ht="15.75" x14ac:dyDescent="0.25">
      <c r="A11" s="89" t="str">
        <f>CONCATENATE("Дефектный акт ", IF(Source!AN15&lt;&gt;"", Source!AN15," "))</f>
        <v xml:space="preserve">Дефектный акт  </v>
      </c>
      <c r="B11" s="89"/>
      <c r="C11" s="89"/>
      <c r="D11" s="89"/>
      <c r="E11" s="10"/>
    </row>
    <row r="12" spans="1:5" ht="15" x14ac:dyDescent="0.25">
      <c r="A12" s="90" t="str">
        <f>CONCATENATE("На капитальный ремонт ", Source!F12)</f>
        <v>На капитальный ремонт 1</v>
      </c>
      <c r="B12" s="90"/>
      <c r="C12" s="90"/>
      <c r="D12" s="90"/>
      <c r="E12" s="10"/>
    </row>
    <row r="13" spans="1:5" ht="14.25" x14ac:dyDescent="0.2">
      <c r="A13" s="10"/>
      <c r="B13" s="10"/>
      <c r="C13" s="10"/>
      <c r="D13" s="10"/>
      <c r="E13" s="10"/>
    </row>
    <row r="14" spans="1:5" ht="15" x14ac:dyDescent="0.2">
      <c r="A14" s="10"/>
      <c r="B14" s="44" t="s">
        <v>518</v>
      </c>
      <c r="C14" s="10"/>
      <c r="D14" s="10"/>
      <c r="E14" s="10"/>
    </row>
    <row r="15" spans="1:5" ht="15" x14ac:dyDescent="0.2">
      <c r="A15" s="10"/>
      <c r="B15" s="44" t="s">
        <v>519</v>
      </c>
      <c r="C15" s="10"/>
      <c r="D15" s="10"/>
      <c r="E15" s="10"/>
    </row>
    <row r="16" spans="1:5" ht="15" x14ac:dyDescent="0.2">
      <c r="A16" s="10"/>
      <c r="B16" s="44" t="s">
        <v>520</v>
      </c>
      <c r="C16" s="10"/>
      <c r="D16" s="10"/>
      <c r="E16" s="10"/>
    </row>
    <row r="17" spans="1:31" ht="28.5" x14ac:dyDescent="0.2">
      <c r="A17" s="19" t="s">
        <v>521</v>
      </c>
      <c r="B17" s="19" t="s">
        <v>440</v>
      </c>
      <c r="C17" s="19" t="s">
        <v>441</v>
      </c>
      <c r="D17" s="19" t="s">
        <v>522</v>
      </c>
      <c r="E17" s="45" t="s">
        <v>523</v>
      </c>
    </row>
    <row r="18" spans="1:31" ht="14.25" x14ac:dyDescent="0.2">
      <c r="A18" s="48">
        <v>1</v>
      </c>
      <c r="B18" s="48">
        <v>2</v>
      </c>
      <c r="C18" s="48">
        <v>3</v>
      </c>
      <c r="D18" s="48">
        <v>4</v>
      </c>
      <c r="E18" s="49">
        <v>5</v>
      </c>
    </row>
    <row r="19" spans="1:31" ht="33" x14ac:dyDescent="0.25">
      <c r="A19" s="87" t="str">
        <f>CONCATENATE("Локальная смета: ", Source!G20)</f>
        <v>Локальная смета: Выполнение работ по благоустройству дворовых территориях Таганского района в 2021 году</v>
      </c>
      <c r="B19" s="87"/>
      <c r="C19" s="87"/>
      <c r="D19" s="87"/>
      <c r="E19" s="87"/>
      <c r="AE19" s="47" t="str">
        <f>CONCATENATE("Локальная смета: ", Source!G20)</f>
        <v>Локальная смета: Выполнение работ по благоустройству дворовых территориях Таганского района в 2021 году</v>
      </c>
    </row>
    <row r="20" spans="1:31" ht="16.5" x14ac:dyDescent="0.25">
      <c r="A20" s="87" t="str">
        <f>CONCATENATE("Раздел: ", Source!G24)</f>
        <v>Раздел: Раздел 4.  А/б покрытие пешеходных тротуаров на новое основание (АТ-1) - 35 м2</v>
      </c>
      <c r="B20" s="87"/>
      <c r="C20" s="87"/>
      <c r="D20" s="87"/>
      <c r="E20" s="87"/>
    </row>
    <row r="21" spans="1:31" ht="28.5" x14ac:dyDescent="0.2">
      <c r="A21" s="51">
        <v>1</v>
      </c>
      <c r="B21" s="52" t="str">
        <f>Source!G28</f>
        <v>Разработка грунта с погрузкой на автомобили-самосвалы экскаваторами с ковшом вместимостью 0,5 м3, группа грунтов 1-3</v>
      </c>
      <c r="C21" s="53" t="str">
        <f>Source!DW28</f>
        <v>100 м3</v>
      </c>
      <c r="D21" s="54">
        <f>Source!I28</f>
        <v>0.14174999999999999</v>
      </c>
      <c r="E21" s="51"/>
    </row>
    <row r="22" spans="1:31" ht="28.5" x14ac:dyDescent="0.2">
      <c r="A22" s="51">
        <v>2</v>
      </c>
      <c r="B22" s="52" t="str">
        <f>Source!G29</f>
        <v>Разработка грунта вручную в траншеях глубиной до 2 м без креплений с откосами, группа грунтов 1-3</v>
      </c>
      <c r="C22" s="53" t="str">
        <f>Source!DW29</f>
        <v>100 м3</v>
      </c>
      <c r="D22" s="54">
        <f>Source!I29</f>
        <v>1.575E-2</v>
      </c>
      <c r="E22" s="51"/>
    </row>
    <row r="23" spans="1:31" ht="14.25" x14ac:dyDescent="0.2">
      <c r="A23" s="51">
        <v>3</v>
      </c>
      <c r="B23" s="52" t="str">
        <f>Source!G30</f>
        <v>Погрузка грунта вручную в автомобили-самосвалы с выгрузкой</v>
      </c>
      <c r="C23" s="53" t="str">
        <f>Source!DW30</f>
        <v>100 м3</v>
      </c>
      <c r="D23" s="54">
        <f>Source!I30</f>
        <v>1.575E-3</v>
      </c>
      <c r="E23" s="51"/>
    </row>
    <row r="24" spans="1:31" ht="28.5" x14ac:dyDescent="0.2">
      <c r="A24" s="51">
        <v>4</v>
      </c>
      <c r="B24" s="52" t="str">
        <f>Source!G31</f>
        <v>Перевозка грунта автосамосвалами грузоподъемностью до 10 т на расстояние 1 км</v>
      </c>
      <c r="C24" s="53" t="str">
        <f>Source!DW31</f>
        <v>м3</v>
      </c>
      <c r="D24" s="54">
        <f>Source!I31</f>
        <v>15.75</v>
      </c>
      <c r="E24" s="51"/>
    </row>
    <row r="25" spans="1:31" ht="28.5" x14ac:dyDescent="0.2">
      <c r="A25" s="51">
        <v>5</v>
      </c>
      <c r="B25" s="52" t="str">
        <f>Source!G32</f>
        <v>Перевозка грунта автосамосвалами грузоподъемностью до 10 т - добавляется на каждый последующий 1 км до 100 км (к поз. 49-3401-1-1)</v>
      </c>
      <c r="C25" s="53" t="str">
        <f>Source!DW32</f>
        <v>м3</v>
      </c>
      <c r="D25" s="54">
        <f>Source!I32</f>
        <v>15.75</v>
      </c>
      <c r="E25" s="51"/>
    </row>
    <row r="26" spans="1:31" ht="14.25" x14ac:dyDescent="0.2">
      <c r="A26" s="51">
        <v>6</v>
      </c>
      <c r="B26" s="52" t="str">
        <f>Source!G34</f>
        <v>Устройство подстилающих и выравнивающих слоев оснований из песка</v>
      </c>
      <c r="C26" s="53" t="str">
        <f>Source!DW34</f>
        <v>100 м3</v>
      </c>
      <c r="D26" s="54">
        <f>Source!I34</f>
        <v>7.0000000000000007E-2</v>
      </c>
      <c r="E26" s="51"/>
    </row>
    <row r="27" spans="1:31" ht="14.25" x14ac:dyDescent="0.2">
      <c r="A27" s="51">
        <v>7</v>
      </c>
      <c r="B27" s="52" t="str">
        <f>Source!G35</f>
        <v>Устройство подстилающих и выравнивающих слоев оснований из щебня</v>
      </c>
      <c r="C27" s="53" t="str">
        <f>Source!DW35</f>
        <v>100 м3</v>
      </c>
      <c r="D27" s="54">
        <f>Source!I35</f>
        <v>7.0000000000000007E-2</v>
      </c>
      <c r="E27" s="51"/>
    </row>
    <row r="28" spans="1:31" ht="42.75" x14ac:dyDescent="0.2">
      <c r="A28" s="51">
        <v>8</v>
      </c>
      <c r="B28" s="52" t="str">
        <f>Source!G36</f>
        <v>Устройство асфальтобетонных покрытий дорожек и тротуаров двухслойных, верхний слой из песчаной асфальтобетонной смеси толщиной 3 см/ 5см</v>
      </c>
      <c r="C28" s="53" t="str">
        <f>Source!DW36</f>
        <v>100 м2</v>
      </c>
      <c r="D28" s="54">
        <f>Source!I36</f>
        <v>0.35</v>
      </c>
      <c r="E28" s="51"/>
    </row>
    <row r="29" spans="1:31" ht="33" x14ac:dyDescent="0.25">
      <c r="A29" s="87" t="str">
        <f>CONCATENATE("Раздел: ", Source!G72)</f>
        <v xml:space="preserve">Раздел: Раздел 10.1 . Устройство новых оснований площадок (детские, спортивные, воркаут) АБП </v>
      </c>
      <c r="B29" s="87"/>
      <c r="C29" s="87"/>
      <c r="D29" s="87"/>
      <c r="E29" s="87"/>
      <c r="AE29" s="47" t="str">
        <f>CONCATENATE("Раздел: ", Source!G72)</f>
        <v xml:space="preserve">Раздел: Раздел 10.1 . Устройство новых оснований площадок (детские, спортивные, воркаут) АБП </v>
      </c>
    </row>
    <row r="30" spans="1:31" ht="28.5" x14ac:dyDescent="0.2">
      <c r="A30" s="51">
        <v>9</v>
      </c>
      <c r="B30" s="52" t="str">
        <f>Source!G76</f>
        <v>Разработка грунта с погрузкой на автомобили-самосвалы экскаваторами с ковшом вместимостью 0,5 м3, группа грунтов 1-3</v>
      </c>
      <c r="C30" s="53" t="str">
        <f>Source!DW76</f>
        <v>100 м3</v>
      </c>
      <c r="D30" s="54">
        <f>Source!I76</f>
        <v>12.186719999999999</v>
      </c>
      <c r="E30" s="51"/>
    </row>
    <row r="31" spans="1:31" ht="28.5" x14ac:dyDescent="0.2">
      <c r="A31" s="51">
        <v>10</v>
      </c>
      <c r="B31" s="52" t="str">
        <f>Source!G77</f>
        <v>Разработка грунта вручную в траншеях глубиной до 2 м без креплений с откосами группа грунтов 1-3</v>
      </c>
      <c r="C31" s="53" t="str">
        <f>Source!DW77</f>
        <v>100 м3</v>
      </c>
      <c r="D31" s="54">
        <f>Source!I77</f>
        <v>1.35408</v>
      </c>
      <c r="E31" s="51"/>
    </row>
    <row r="32" spans="1:31" ht="14.25" x14ac:dyDescent="0.2">
      <c r="A32" s="51">
        <v>11</v>
      </c>
      <c r="B32" s="52" t="str">
        <f>Source!G78</f>
        <v>Погрузка грунта вручную в автомобили-самосвалы с выгрузкой</v>
      </c>
      <c r="C32" s="53" t="str">
        <f>Source!DW78</f>
        <v>100 м3</v>
      </c>
      <c r="D32" s="54">
        <f>Source!I78</f>
        <v>0.135408</v>
      </c>
      <c r="E32" s="51"/>
    </row>
    <row r="33" spans="1:31" ht="28.5" x14ac:dyDescent="0.2">
      <c r="A33" s="51">
        <v>12</v>
      </c>
      <c r="B33" s="52" t="str">
        <f>Source!G79</f>
        <v>Перевозка грунта автосамосвалами грузоподъемностью до 10 т на расстояние 1 км</v>
      </c>
      <c r="C33" s="53" t="str">
        <f>Source!DW79</f>
        <v>м3</v>
      </c>
      <c r="D33" s="54">
        <f>Source!I79</f>
        <v>1354.08</v>
      </c>
      <c r="E33" s="51"/>
    </row>
    <row r="34" spans="1:31" ht="28.5" x14ac:dyDescent="0.2">
      <c r="A34" s="51">
        <v>13</v>
      </c>
      <c r="B34" s="52" t="str">
        <f>Source!G80</f>
        <v>Перевозка грунта автосамосвалами грузоподъемностью до 10 т - добавляется на каждый последующий 1 км до 100 км (к поз. 49-3401-1-1)</v>
      </c>
      <c r="C34" s="53" t="str">
        <f>Source!DW80</f>
        <v>м3</v>
      </c>
      <c r="D34" s="54">
        <f>Source!I80</f>
        <v>1354.08</v>
      </c>
      <c r="E34" s="51"/>
    </row>
    <row r="35" spans="1:31" ht="14.25" x14ac:dyDescent="0.2">
      <c r="A35" s="51">
        <v>14</v>
      </c>
      <c r="B35" s="52" t="str">
        <f>Source!G82</f>
        <v>Устройство подстилающих и выравнивающих слоев оснований из песка</v>
      </c>
      <c r="C35" s="53" t="str">
        <f>Source!DW82</f>
        <v>100 м3</v>
      </c>
      <c r="D35" s="54">
        <f>Source!I82</f>
        <v>6.4480000000000004</v>
      </c>
      <c r="E35" s="51"/>
    </row>
    <row r="36" spans="1:31" ht="14.25" x14ac:dyDescent="0.2">
      <c r="A36" s="51">
        <v>15</v>
      </c>
      <c r="B36" s="52" t="str">
        <f>Source!G83</f>
        <v>Устройство подстилающих и выравнивающих слоев оснований из щебня</v>
      </c>
      <c r="C36" s="53" t="str">
        <f>Source!DW83</f>
        <v>100 м3</v>
      </c>
      <c r="D36" s="54" t="str">
        <f>Source!I83</f>
        <v>4,7256</v>
      </c>
      <c r="E36" s="51"/>
    </row>
    <row r="37" spans="1:31" ht="42.75" x14ac:dyDescent="0.2">
      <c r="A37" s="51">
        <v>16</v>
      </c>
      <c r="B37" s="52" t="str">
        <f>Source!G84</f>
        <v>Устройство асфальтобетонных покрытий дорожек и тротуаров двухслойных, верхний слой из песчаной асфальтобетонной смеси толщиной 3 см</v>
      </c>
      <c r="C37" s="53" t="str">
        <f>Source!DW84</f>
        <v>100 м2</v>
      </c>
      <c r="D37" s="54">
        <f>Source!I84</f>
        <v>24</v>
      </c>
      <c r="E37" s="51"/>
    </row>
    <row r="38" spans="1:31" ht="33" x14ac:dyDescent="0.25">
      <c r="A38" s="87" t="str">
        <f>CONCATENATE("Раздел: ", Source!G120)</f>
        <v xml:space="preserve">Раздел: Раздел 11. Замена\устройство бортового камня садового(для оснований площадок детских, спортивных, воркаут) </v>
      </c>
      <c r="B38" s="87"/>
      <c r="C38" s="87"/>
      <c r="D38" s="87"/>
      <c r="E38" s="87"/>
      <c r="AE38" s="47" t="str">
        <f>CONCATENATE("Раздел: ", Source!G120)</f>
        <v xml:space="preserve">Раздел: Раздел 11. Замена\устройство бортового камня садового(для оснований площадок детских, спортивных, воркаут) </v>
      </c>
    </row>
    <row r="39" spans="1:31" ht="14.25" x14ac:dyDescent="0.2">
      <c r="A39" s="51">
        <v>17</v>
      </c>
      <c r="B39" s="52" t="str">
        <f>Source!G124</f>
        <v>Разборка бортовых камней на бетонном основании</v>
      </c>
      <c r="C39" s="53" t="str">
        <f>Source!DW124</f>
        <v>100 м</v>
      </c>
      <c r="D39" s="54">
        <f>Source!I124</f>
        <v>5.16</v>
      </c>
      <c r="E39" s="51"/>
    </row>
    <row r="40" spans="1:31" ht="28.5" x14ac:dyDescent="0.2">
      <c r="A40" s="51">
        <v>18</v>
      </c>
      <c r="B40" s="52" t="str">
        <f>Source!G125</f>
        <v>Погрузка и выгрузка вручную строительного мусора на транспортные средства</v>
      </c>
      <c r="C40" s="53" t="str">
        <f>Source!DW125</f>
        <v>т</v>
      </c>
      <c r="D40" s="54">
        <f>Source!I125</f>
        <v>7.9257600000000004</v>
      </c>
      <c r="E40" s="51"/>
    </row>
    <row r="41" spans="1:31" ht="28.5" x14ac:dyDescent="0.2">
      <c r="A41" s="51">
        <v>19</v>
      </c>
      <c r="B41" s="52" t="str">
        <f>Source!G126</f>
        <v>Механизированная погрузка строительного мусора в автомобили-самосвалы</v>
      </c>
      <c r="C41" s="53" t="str">
        <f>Source!DW126</f>
        <v>т</v>
      </c>
      <c r="D41" s="54">
        <f>Source!I126</f>
        <v>85.017600000000002</v>
      </c>
      <c r="E41" s="51"/>
    </row>
    <row r="42" spans="1:31" ht="28.5" x14ac:dyDescent="0.2">
      <c r="A42" s="51">
        <v>20</v>
      </c>
      <c r="B42" s="52" t="str">
        <f>Source!G127</f>
        <v>Перевозка строительного мусора автосамосвалами грузоподъемностью до 10 т на расстояние 1 км - при погрузке вручную</v>
      </c>
      <c r="C42" s="53" t="str">
        <f>Source!DW127</f>
        <v>т</v>
      </c>
      <c r="D42" s="54">
        <f>Source!I127</f>
        <v>7.9257600000000004</v>
      </c>
      <c r="E42" s="51"/>
    </row>
    <row r="43" spans="1:31" ht="28.5" x14ac:dyDescent="0.2">
      <c r="A43" s="51">
        <v>21</v>
      </c>
      <c r="B43" s="52" t="str">
        <f>Source!G128</f>
        <v>Перевозка строительного мусора автосамосвалами грузоподъемностью до 10 т на расстояние 1 км - при механизированной погрузке</v>
      </c>
      <c r="C43" s="53" t="str">
        <f>Source!DW128</f>
        <v>т</v>
      </c>
      <c r="D43" s="54">
        <f>Source!I128</f>
        <v>85.017600000000002</v>
      </c>
      <c r="E43" s="51"/>
    </row>
    <row r="44" spans="1:31" ht="28.5" x14ac:dyDescent="0.2">
      <c r="A44" s="51">
        <v>22</v>
      </c>
      <c r="B44" s="52" t="str">
        <f>Source!G129</f>
        <v>Перевозка строительного мусора автосамосвалами грузоподъемностью до 10 т - добавляется на каждый последующий 1 км до 100 км</v>
      </c>
      <c r="C44" s="53" t="str">
        <f>Source!DW129</f>
        <v>т</v>
      </c>
      <c r="D44" s="54">
        <f>Source!I129</f>
        <v>92.943359999999998</v>
      </c>
      <c r="E44" s="51"/>
    </row>
    <row r="45" spans="1:31" ht="14.25" x14ac:dyDescent="0.2">
      <c r="A45" s="51">
        <v>23</v>
      </c>
      <c r="B45" s="52" t="str">
        <f>Source!G131</f>
        <v>Устройство подстилающих и выравнивающих слоев оснований из песка</v>
      </c>
      <c r="C45" s="53" t="str">
        <f>Source!DW131</f>
        <v>100 м3</v>
      </c>
      <c r="D45" s="54">
        <f>Source!I131</f>
        <v>6.4500000000000002E-2</v>
      </c>
      <c r="E45" s="51"/>
    </row>
    <row r="46" spans="1:31" ht="28.5" x14ac:dyDescent="0.2">
      <c r="A46" s="51">
        <v>24</v>
      </c>
      <c r="B46" s="52" t="str">
        <f>Source!G132</f>
        <v>Установка бортовых камней бетонных газонных и садовых марка БР60.20.8, при других видах покрытий</v>
      </c>
      <c r="C46" s="53" t="str">
        <f>Source!DW132</f>
        <v>100 м</v>
      </c>
      <c r="D46" s="54">
        <f>Source!I132</f>
        <v>5.16</v>
      </c>
      <c r="E46" s="51"/>
    </row>
    <row r="47" spans="1:31" ht="16.5" x14ac:dyDescent="0.25">
      <c r="A47" s="87" t="str">
        <f>CONCATENATE("Раздел: ", Source!G166)</f>
        <v>Раздел: Раздел 20.2 Ремонт газона (посевной) 10см</v>
      </c>
      <c r="B47" s="87"/>
      <c r="C47" s="87"/>
      <c r="D47" s="87"/>
      <c r="E47" s="87"/>
    </row>
    <row r="48" spans="1:31" ht="28.5" x14ac:dyDescent="0.2">
      <c r="A48" s="51">
        <v>25</v>
      </c>
      <c r="B48" s="52" t="str">
        <f>Source!G170</f>
        <v>Разработка грунта с погрузкой на автомобили-самосвалы экскаваторами с ковшом вместимостью 0,5 м3, группа грунтов 1-3</v>
      </c>
      <c r="C48" s="53" t="str">
        <f>Source!DW170</f>
        <v>100 м3</v>
      </c>
      <c r="D48" s="54">
        <f>Source!I170</f>
        <v>0.51300000000000001</v>
      </c>
      <c r="E48" s="51"/>
    </row>
    <row r="49" spans="1:31" ht="28.5" x14ac:dyDescent="0.2">
      <c r="A49" s="51">
        <v>26</v>
      </c>
      <c r="B49" s="52" t="str">
        <f>Source!G171</f>
        <v>Разработка грунта с погрузкой на автомобили-самосвалы экскаваторами с ковшом вместимостью 0,5 м3, группа грунтов 1-3</v>
      </c>
      <c r="C49" s="53" t="str">
        <f>Source!DW171</f>
        <v>100 м3</v>
      </c>
      <c r="D49" s="54">
        <f>Source!I171</f>
        <v>5.1299999999999998E-2</v>
      </c>
      <c r="E49" s="51"/>
    </row>
    <row r="50" spans="1:31" ht="14.25" x14ac:dyDescent="0.2">
      <c r="A50" s="51">
        <v>27</v>
      </c>
      <c r="B50" s="52" t="str">
        <f>Source!G172</f>
        <v>Погрузка грунта вручную в автомобили-самосвалы с выгрузкой</v>
      </c>
      <c r="C50" s="53" t="str">
        <f>Source!DW172</f>
        <v>100 м3</v>
      </c>
      <c r="D50" s="54">
        <f>Source!I172</f>
        <v>5.7000000000000002E-3</v>
      </c>
      <c r="E50" s="51"/>
    </row>
    <row r="51" spans="1:31" ht="28.5" x14ac:dyDescent="0.2">
      <c r="A51" s="51">
        <v>28</v>
      </c>
      <c r="B51" s="52" t="str">
        <f>Source!G173</f>
        <v>Перевозка грунта автосамосвалами грузоподъемностью до 10 т на расстояние 1 км</v>
      </c>
      <c r="C51" s="53" t="str">
        <f>Source!DW173</f>
        <v>м3</v>
      </c>
      <c r="D51" s="54">
        <f>Source!I173</f>
        <v>57</v>
      </c>
      <c r="E51" s="51"/>
    </row>
    <row r="52" spans="1:31" ht="28.5" x14ac:dyDescent="0.2">
      <c r="A52" s="51">
        <v>29</v>
      </c>
      <c r="B52" s="52" t="str">
        <f>Source!G174</f>
        <v>Перевозка грунта автосамосвалами грузоподъемностью до 10 т - добавляется на каждый последующий 1 км до 100 км (к поз. 49-3401-1-1)</v>
      </c>
      <c r="C52" s="53" t="str">
        <f>Source!DW174</f>
        <v>м3</v>
      </c>
      <c r="D52" s="54">
        <f>Source!I174</f>
        <v>57</v>
      </c>
      <c r="E52" s="51"/>
    </row>
    <row r="53" spans="1:31" ht="42.75" x14ac:dyDescent="0.2">
      <c r="A53" s="51">
        <v>30</v>
      </c>
      <c r="B53" s="52" t="str">
        <f>Source!G176</f>
        <v>Подготовка почвы для устройства партерного и обыкновенного газонов с внесением растительной земли слоем 15 см механизированным способом</v>
      </c>
      <c r="C53" s="53" t="str">
        <f>Source!DW176</f>
        <v>100 м2</v>
      </c>
      <c r="D53" s="54">
        <f>Source!I176</f>
        <v>4.2750000000000004</v>
      </c>
      <c r="E53" s="51"/>
    </row>
    <row r="54" spans="1:31" ht="28.5" x14ac:dyDescent="0.2">
      <c r="A54" s="51">
        <v>31</v>
      </c>
      <c r="B54" s="52" t="str">
        <f>Source!G177</f>
        <v>Подготовка почвы для устройства партерного и обыкновенного газонов с внесением растительной земли слоем 15 см вручную</v>
      </c>
      <c r="C54" s="53" t="str">
        <f>Source!DW177</f>
        <v>100 м2</v>
      </c>
      <c r="D54" s="54">
        <f>Source!I177</f>
        <v>1.425</v>
      </c>
      <c r="E54" s="51"/>
    </row>
    <row r="55" spans="1:31" ht="28.5" x14ac:dyDescent="0.2">
      <c r="A55" s="51">
        <v>32</v>
      </c>
      <c r="B55" s="52" t="str">
        <f>Source!G178</f>
        <v>Подготовка почвы для устройства партерного и обыкновенного газонов на каждые 5 см изменения толщины слоя добавлять или исключать</v>
      </c>
      <c r="C55" s="53" t="str">
        <f>Source!DW178</f>
        <v>100 м2</v>
      </c>
      <c r="D55" s="54">
        <f>Source!I178</f>
        <v>-5.7</v>
      </c>
      <c r="E55" s="51"/>
    </row>
    <row r="56" spans="1:31" ht="14.25" x14ac:dyDescent="0.2">
      <c r="A56" s="51">
        <v>33</v>
      </c>
      <c r="B56" s="52" t="str">
        <f>Source!G179</f>
        <v>Посев газонов партерных, мавританских, и обыкновенных вручную</v>
      </c>
      <c r="C56" s="53" t="str">
        <f>Source!DW179</f>
        <v>100 м2</v>
      </c>
      <c r="D56" s="54">
        <f>Source!I179</f>
        <v>5.7</v>
      </c>
      <c r="E56" s="51"/>
    </row>
    <row r="57" spans="1:31" ht="16.5" x14ac:dyDescent="0.25">
      <c r="A57" s="87" t="str">
        <f>CONCATENATE("Раздел: ", Source!G213)</f>
        <v>Раздел: 22.1 Посадка деревьев с комо 0,8х0,6м, высотой от 3м - 8 шт.</v>
      </c>
      <c r="B57" s="87"/>
      <c r="C57" s="87"/>
      <c r="D57" s="87"/>
      <c r="E57" s="87"/>
    </row>
    <row r="58" spans="1:31" ht="42.75" x14ac:dyDescent="0.2">
      <c r="A58" s="51">
        <v>34</v>
      </c>
      <c r="B58" s="52" t="str">
        <f>Source!G217</f>
        <v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v>
      </c>
      <c r="C58" s="53" t="str">
        <f>Source!DW217</f>
        <v>10 ям</v>
      </c>
      <c r="D58" s="54">
        <f>Source!I217</f>
        <v>0.32</v>
      </c>
      <c r="E58" s="51"/>
    </row>
    <row r="59" spans="1:31" ht="28.5" x14ac:dyDescent="0.2">
      <c r="A59" s="51">
        <v>35</v>
      </c>
      <c r="B59" s="52" t="str">
        <f>Source!G218</f>
        <v>Подготовка стандартных посадочных мест вручную, с круглым комом земли размером 0,8х0,6 м с добавлением растительной земли до 100%</v>
      </c>
      <c r="C59" s="53" t="str">
        <f>Source!DW218</f>
        <v>10 ям</v>
      </c>
      <c r="D59" s="54">
        <f>Source!I218</f>
        <v>0.48</v>
      </c>
      <c r="E59" s="51"/>
    </row>
    <row r="60" spans="1:31" ht="28.5" x14ac:dyDescent="0.2">
      <c r="A60" s="51">
        <v>36</v>
      </c>
      <c r="B60" s="52" t="str">
        <f>Source!G219</f>
        <v>Посадка деревьев и кустарников с комом земли, диаметром 0,8 м и высотой 0,6 м (без стоимости деревьев и кустарников)</v>
      </c>
      <c r="C60" s="53" t="str">
        <f>Source!DW219</f>
        <v>10 шт.</v>
      </c>
      <c r="D60" s="54">
        <f>Source!I219</f>
        <v>0.8</v>
      </c>
      <c r="E60" s="51"/>
    </row>
    <row r="61" spans="1:31" ht="16.5" x14ac:dyDescent="0.25">
      <c r="A61" s="87" t="str">
        <f>CONCATENATE("Раздел: ", Source!G251)</f>
        <v xml:space="preserve">Раздел: Раздел 24.1 Устройство покрытия на площадке для игровых видов спорта (1 см - EPDM) </v>
      </c>
      <c r="B61" s="87"/>
      <c r="C61" s="87"/>
      <c r="D61" s="87"/>
      <c r="E61" s="87"/>
      <c r="AE61" s="47" t="str">
        <f>CONCATENATE("Раздел: ", Source!G251)</f>
        <v xml:space="preserve">Раздел: Раздел 24.1 Устройство покрытия на площадке для игровых видов спорта (1 см - EPDM) </v>
      </c>
    </row>
    <row r="62" spans="1:31" ht="28.5" x14ac:dyDescent="0.2">
      <c r="A62" s="51">
        <v>37</v>
      </c>
      <c r="B62" s="52" t="str">
        <f>Source!G255</f>
        <v>Устройство наливного полиуретанового покрытия спортивных площадок и беговых дорожек толщиной 10 мм</v>
      </c>
      <c r="C62" s="53" t="str">
        <f>Source!DW255</f>
        <v>100 м2</v>
      </c>
      <c r="D62" s="54">
        <f>Source!I255</f>
        <v>14</v>
      </c>
      <c r="E62" s="51"/>
    </row>
    <row r="63" spans="1:31" ht="16.5" x14ac:dyDescent="0.25">
      <c r="A63" s="87" t="str">
        <f>CONCATENATE("Раздел: ", Source!G292)</f>
        <v>Раздел: Раздел 27.1 Устройство нового пешеходного покрытия из бетонной плитки - 60 м2</v>
      </c>
      <c r="B63" s="87"/>
      <c r="C63" s="87"/>
      <c r="D63" s="87"/>
      <c r="E63" s="87"/>
    </row>
    <row r="64" spans="1:31" ht="28.5" x14ac:dyDescent="0.2">
      <c r="A64" s="51">
        <v>38</v>
      </c>
      <c r="B64" s="52" t="str">
        <f>Source!G296</f>
        <v>Разработка грунта с погрузкой на автомобили-самосвалы экскаваторами с ковшом вместимостью 0,5 м3, группа грунтов 1-3</v>
      </c>
      <c r="C64" s="53" t="str">
        <f>Source!DW296</f>
        <v>100 м3</v>
      </c>
      <c r="D64" s="54">
        <f>Source!I296</f>
        <v>0.23219999999999999</v>
      </c>
      <c r="E64" s="51"/>
    </row>
    <row r="65" spans="1:31" ht="28.5" x14ac:dyDescent="0.2">
      <c r="A65" s="51">
        <v>39</v>
      </c>
      <c r="B65" s="52" t="str">
        <f>Source!G297</f>
        <v>Разработка грунта вручную в траншеях глубиной до 2 м без креплений с откосами группа грунтов 1-3</v>
      </c>
      <c r="C65" s="53" t="str">
        <f>Source!DW297</f>
        <v>100 м3</v>
      </c>
      <c r="D65" s="54">
        <f>Source!I297</f>
        <v>2.58E-2</v>
      </c>
      <c r="E65" s="51"/>
    </row>
    <row r="66" spans="1:31" ht="14.25" x14ac:dyDescent="0.2">
      <c r="A66" s="51">
        <v>40</v>
      </c>
      <c r="B66" s="52" t="str">
        <f>Source!G298</f>
        <v>Погрузка грунта вручную в автомобили-самосвалы с выгрузкой</v>
      </c>
      <c r="C66" s="53" t="str">
        <f>Source!DW298</f>
        <v>100 м3</v>
      </c>
      <c r="D66" s="54">
        <f>Source!I298</f>
        <v>2.5799999999999998E-3</v>
      </c>
      <c r="E66" s="51"/>
    </row>
    <row r="67" spans="1:31" ht="28.5" x14ac:dyDescent="0.2">
      <c r="A67" s="51">
        <v>41</v>
      </c>
      <c r="B67" s="52" t="str">
        <f>Source!G299</f>
        <v>Перевозка грунта автосамосвалами грузоподъемностью до 10 т на расстояние 1 км</v>
      </c>
      <c r="C67" s="53" t="str">
        <f>Source!DW299</f>
        <v>м3</v>
      </c>
      <c r="D67" s="54">
        <f>Source!I299</f>
        <v>25.8</v>
      </c>
      <c r="E67" s="51"/>
    </row>
    <row r="68" spans="1:31" ht="28.5" x14ac:dyDescent="0.2">
      <c r="A68" s="51">
        <v>42</v>
      </c>
      <c r="B68" s="52" t="str">
        <f>Source!G300</f>
        <v>Перевозка грунта автосамосвалами грузоподъемностью до 10 т - добавляется на каждый последующий 1 км до 100 км (к поз. 49-3401-1-1)</v>
      </c>
      <c r="C68" s="53" t="str">
        <f>Source!DW300</f>
        <v>м3</v>
      </c>
      <c r="D68" s="54">
        <f>Source!I300</f>
        <v>25.8</v>
      </c>
      <c r="E68" s="51"/>
    </row>
    <row r="69" spans="1:31" ht="14.25" x14ac:dyDescent="0.2">
      <c r="A69" s="51">
        <v>43</v>
      </c>
      <c r="B69" s="52" t="str">
        <f>Source!G302</f>
        <v>Устройство подстилающих и выравнивающих слоев оснований из песка</v>
      </c>
      <c r="C69" s="53" t="str">
        <f>Source!DW302</f>
        <v>100 м3</v>
      </c>
      <c r="D69" s="54">
        <f>Source!I302</f>
        <v>0.12</v>
      </c>
      <c r="E69" s="51"/>
    </row>
    <row r="70" spans="1:31" ht="14.25" x14ac:dyDescent="0.2">
      <c r="A70" s="51">
        <v>44</v>
      </c>
      <c r="B70" s="52" t="str">
        <f>Source!G303</f>
        <v>Устройство подстилающих и выравнивающих слоев оснований из щебня</v>
      </c>
      <c r="C70" s="53" t="str">
        <f>Source!DW303</f>
        <v>100 м3</v>
      </c>
      <c r="D70" s="54">
        <f>Source!I303</f>
        <v>7.1999999999999995E-2</v>
      </c>
      <c r="E70" s="51"/>
    </row>
    <row r="71" spans="1:31" ht="28.5" x14ac:dyDescent="0.2">
      <c r="A71" s="51">
        <v>45</v>
      </c>
      <c r="B71" s="52" t="str">
        <f>Source!G304</f>
        <v>Устройство покрытий тротуаров из бетонной плитки типа "Брусчатка" рядовым или паркетным мощением</v>
      </c>
      <c r="C71" s="53" t="str">
        <f>Source!DW304</f>
        <v>100 м2</v>
      </c>
      <c r="D71" s="54">
        <f>Source!I304</f>
        <v>0.6</v>
      </c>
      <c r="E71" s="51"/>
    </row>
    <row r="72" spans="1:31" ht="33" x14ac:dyDescent="0.25">
      <c r="A72" s="87" t="str">
        <f>CONCATENATE("Раздел: ", Source!G339)</f>
        <v xml:space="preserve">Раздел: 28. Замена/ устройство бортового камня  садового (для дорожно-тропиночной сети) </v>
      </c>
      <c r="B72" s="87"/>
      <c r="C72" s="87"/>
      <c r="D72" s="87"/>
      <c r="E72" s="87"/>
      <c r="AE72" s="47" t="str">
        <f>CONCATENATE("Раздел: ", Source!G339)</f>
        <v xml:space="preserve">Раздел: 28. Замена/ устройство бортового камня  садового (для дорожно-тропиночной сети) </v>
      </c>
    </row>
    <row r="73" spans="1:31" ht="14.25" x14ac:dyDescent="0.2">
      <c r="A73" s="51">
        <v>46</v>
      </c>
      <c r="B73" s="52" t="str">
        <f>Source!G343</f>
        <v>Разборка бортовых камней на бетонном основании</v>
      </c>
      <c r="C73" s="53" t="str">
        <f>Source!DW343</f>
        <v>100 м</v>
      </c>
      <c r="D73" s="54">
        <f>Source!I343</f>
        <v>1.4</v>
      </c>
      <c r="E73" s="51"/>
    </row>
    <row r="74" spans="1:31" ht="28.5" x14ac:dyDescent="0.2">
      <c r="A74" s="51">
        <v>47</v>
      </c>
      <c r="B74" s="52" t="str">
        <f>Source!G344</f>
        <v>Погрузка и выгрузка вручную строительного мусора на транспортные средства</v>
      </c>
      <c r="C74" s="53" t="str">
        <f>Source!DW344</f>
        <v>т</v>
      </c>
      <c r="D74" s="54">
        <f>Source!I344</f>
        <v>2.1503999999999999</v>
      </c>
      <c r="E74" s="51"/>
    </row>
    <row r="75" spans="1:31" ht="28.5" x14ac:dyDescent="0.2">
      <c r="A75" s="51">
        <v>48</v>
      </c>
      <c r="B75" s="52" t="str">
        <f>Source!G345</f>
        <v>Механизированная погрузка строительного мусора в автомобили-самосвалы</v>
      </c>
      <c r="C75" s="53" t="str">
        <f>Source!DW345</f>
        <v>т</v>
      </c>
      <c r="D75" s="54">
        <f>Source!I345</f>
        <v>19.3536</v>
      </c>
      <c r="E75" s="51"/>
    </row>
    <row r="76" spans="1:31" ht="28.5" x14ac:dyDescent="0.2">
      <c r="A76" s="51">
        <v>49</v>
      </c>
      <c r="B76" s="52" t="str">
        <f>Source!G346</f>
        <v>Перевозка строительного мусора автосамосвалами грузоподъемностью до 10 т на расстояние 1 км - при погрузке вручную</v>
      </c>
      <c r="C76" s="53" t="str">
        <f>Source!DW346</f>
        <v>т</v>
      </c>
      <c r="D76" s="54">
        <f>Source!I346</f>
        <v>2.1503999999999999</v>
      </c>
      <c r="E76" s="51"/>
    </row>
    <row r="77" spans="1:31" ht="28.5" x14ac:dyDescent="0.2">
      <c r="A77" s="51">
        <v>50</v>
      </c>
      <c r="B77" s="52" t="str">
        <f>Source!G347</f>
        <v>Перевозка строительного мусора автосамосвалами грузоподъемностью до 10 т на расстояние 1 км - при механизированной погрузке</v>
      </c>
      <c r="C77" s="53" t="str">
        <f>Source!DW347</f>
        <v>т</v>
      </c>
      <c r="D77" s="54">
        <f>Source!I347</f>
        <v>19.3536</v>
      </c>
      <c r="E77" s="51"/>
    </row>
    <row r="78" spans="1:31" ht="28.5" x14ac:dyDescent="0.2">
      <c r="A78" s="51">
        <v>51</v>
      </c>
      <c r="B78" s="52" t="str">
        <f>Source!G348</f>
        <v>Перевозка строительного мусора автосамосвалами грузоподъемностью до 10 т - добавляется на каждый последующий 1 км до 100 км</v>
      </c>
      <c r="C78" s="53" t="str">
        <f>Source!DW348</f>
        <v>т</v>
      </c>
      <c r="D78" s="54">
        <f>Source!I348</f>
        <v>21.504000000000001</v>
      </c>
      <c r="E78" s="51"/>
    </row>
    <row r="79" spans="1:31" ht="14.25" x14ac:dyDescent="0.2">
      <c r="A79" s="51">
        <v>52</v>
      </c>
      <c r="B79" s="52" t="str">
        <f>Source!G350</f>
        <v>Устройство подстилающих и выравнивающих слоев оснований из песка</v>
      </c>
      <c r="C79" s="53" t="str">
        <f>Source!DW350</f>
        <v>100 м3</v>
      </c>
      <c r="D79" s="54">
        <f>Source!I350</f>
        <v>1.7500000000000002E-2</v>
      </c>
      <c r="E79" s="51"/>
    </row>
    <row r="80" spans="1:31" ht="28.5" x14ac:dyDescent="0.2">
      <c r="A80" s="51">
        <v>53</v>
      </c>
      <c r="B80" s="52" t="str">
        <f>Source!G351</f>
        <v>Установка бортовых камней бетонных газонных и садовых марка БР60.20.8, при других видах покрытий</v>
      </c>
      <c r="C80" s="53" t="str">
        <f>Source!DW351</f>
        <v>100 м</v>
      </c>
      <c r="D80" s="54">
        <f>Source!I351</f>
        <v>1.4</v>
      </c>
      <c r="E80" s="51"/>
    </row>
    <row r="81" spans="1:31" ht="16.5" x14ac:dyDescent="0.25">
      <c r="A81" s="87" t="str">
        <f>CONCATENATE("Раздел: ", Source!G382)</f>
        <v>Раздел: Раздел. 48 Устройство покрытия из искусственной травы - 1000 м2 (Спорт. общестрой)</v>
      </c>
      <c r="B81" s="87"/>
      <c r="C81" s="87"/>
      <c r="D81" s="87"/>
      <c r="E81" s="87"/>
      <c r="AE81" s="47" t="str">
        <f>CONCATENATE("Раздел: ", Source!G382)</f>
        <v>Раздел: Раздел. 48 Устройство покрытия из искусственной травы - 1000 м2 (Спорт. общестрой)</v>
      </c>
    </row>
    <row r="82" spans="1:31" ht="14.25" x14ac:dyDescent="0.2">
      <c r="A82" s="51">
        <v>54</v>
      </c>
      <c r="B82" s="52" t="str">
        <f>Source!G386</f>
        <v>Устройство покрытия "искусственная трава"</v>
      </c>
      <c r="C82" s="53" t="str">
        <f>Source!DW386</f>
        <v>100 м2</v>
      </c>
      <c r="D82" s="54">
        <f>Source!I386</f>
        <v>10</v>
      </c>
      <c r="E82" s="51"/>
    </row>
    <row r="83" spans="1:31" ht="16.5" x14ac:dyDescent="0.25">
      <c r="A83" s="87" t="str">
        <f>CONCATENATE("Раздел: ", Source!G420)</f>
        <v>Раздел: Раздел 61. Демонтажные работы (Спорт. общестрой)</v>
      </c>
      <c r="B83" s="87"/>
      <c r="C83" s="87"/>
      <c r="D83" s="87"/>
      <c r="E83" s="87"/>
    </row>
    <row r="84" spans="1:31" ht="14.25" x14ac:dyDescent="0.2">
      <c r="A84" s="50">
        <v>55</v>
      </c>
      <c r="B84" s="40" t="str">
        <f>Source!G424</f>
        <v>Разборка лестничных маршей на одном косоуре</v>
      </c>
      <c r="C84" s="41" t="str">
        <f>Source!DW424</f>
        <v>100 м2</v>
      </c>
      <c r="D84" s="38">
        <f>Source!I424</f>
        <v>0.62</v>
      </c>
      <c r="E84" s="50"/>
    </row>
    <row r="87" spans="1:31" ht="15" x14ac:dyDescent="0.25">
      <c r="A87" s="34"/>
      <c r="B87" s="34" t="s">
        <v>524</v>
      </c>
      <c r="C87" s="34"/>
      <c r="D87" s="34"/>
      <c r="E87" s="10"/>
    </row>
  </sheetData>
  <mergeCells count="15">
    <mergeCell ref="A20:E20"/>
    <mergeCell ref="C5:D5"/>
    <mergeCell ref="C7:D7"/>
    <mergeCell ref="A11:D11"/>
    <mergeCell ref="A12:D12"/>
    <mergeCell ref="A19:E19"/>
    <mergeCell ref="A72:E72"/>
    <mergeCell ref="A81:E81"/>
    <mergeCell ref="A83:E83"/>
    <mergeCell ref="A29:E29"/>
    <mergeCell ref="A38:E38"/>
    <mergeCell ref="A47:E47"/>
    <mergeCell ref="A57:E57"/>
    <mergeCell ref="A61:E61"/>
    <mergeCell ref="A63:E63"/>
  </mergeCells>
  <pageMargins left="0.4" right="0.2" top="0.2" bottom="0.4" header="0.2" footer="0.2"/>
  <pageSetup paperSize="9" scale="77" fitToHeight="0" orientation="portrait" verticalDpi="0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7"/>
  <sheetViews>
    <sheetView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4" width="15.7109375" customWidth="1"/>
    <col min="5" max="5" width="15.7109375" hidden="1" customWidth="1"/>
    <col min="31" max="31" width="114.7109375" customWidth="1"/>
  </cols>
  <sheetData>
    <row r="1" spans="1:5" x14ac:dyDescent="0.2">
      <c r="A1" s="8" t="str">
        <f>Source!B1</f>
        <v>Smeta.RU  (495) 974-1589</v>
      </c>
    </row>
    <row r="2" spans="1:5" ht="14.25" x14ac:dyDescent="0.2">
      <c r="C2" s="10"/>
      <c r="D2" s="10"/>
    </row>
    <row r="3" spans="1:5" ht="15" x14ac:dyDescent="0.25">
      <c r="C3" s="10"/>
      <c r="D3" s="30" t="s">
        <v>426</v>
      </c>
    </row>
    <row r="4" spans="1:5" ht="15" x14ac:dyDescent="0.25">
      <c r="C4" s="30"/>
      <c r="D4" s="30"/>
    </row>
    <row r="5" spans="1:5" ht="15" x14ac:dyDescent="0.25">
      <c r="C5" s="88" t="s">
        <v>516</v>
      </c>
      <c r="D5" s="88"/>
    </row>
    <row r="6" spans="1:5" ht="15" x14ac:dyDescent="0.25">
      <c r="C6" s="43"/>
      <c r="D6" s="43"/>
    </row>
    <row r="7" spans="1:5" ht="15" x14ac:dyDescent="0.25">
      <c r="C7" s="88" t="s">
        <v>516</v>
      </c>
      <c r="D7" s="88"/>
    </row>
    <row r="8" spans="1:5" ht="15" x14ac:dyDescent="0.25">
      <c r="C8" s="43"/>
      <c r="D8" s="43"/>
    </row>
    <row r="9" spans="1:5" ht="15" x14ac:dyDescent="0.25">
      <c r="C9" s="30" t="s">
        <v>517</v>
      </c>
      <c r="D9" s="10"/>
    </row>
    <row r="10" spans="1:5" ht="14.25" x14ac:dyDescent="0.2">
      <c r="A10" s="10"/>
      <c r="B10" s="10"/>
      <c r="C10" s="10"/>
      <c r="D10" s="10"/>
      <c r="E10" s="10"/>
    </row>
    <row r="11" spans="1:5" ht="15.75" x14ac:dyDescent="0.25">
      <c r="A11" s="89" t="str">
        <f>CONCATENATE("Ведомость объемов работ ", IF(Source!AN15&lt;&gt;"", Source!AN15," "))</f>
        <v xml:space="preserve">Ведомость объемов работ  </v>
      </c>
      <c r="B11" s="89"/>
      <c r="C11" s="89"/>
      <c r="D11" s="89"/>
      <c r="E11" s="10"/>
    </row>
    <row r="12" spans="1:5" ht="15" x14ac:dyDescent="0.25">
      <c r="A12" s="90" t="str">
        <f>CONCATENATE("На капитальный ремонт ", Source!F12)</f>
        <v>На капитальный ремонт 1</v>
      </c>
      <c r="B12" s="90"/>
      <c r="C12" s="90"/>
      <c r="D12" s="90"/>
      <c r="E12" s="10"/>
    </row>
    <row r="13" spans="1:5" ht="14.25" x14ac:dyDescent="0.2">
      <c r="A13" s="10"/>
      <c r="B13" s="10"/>
      <c r="C13" s="10"/>
      <c r="D13" s="10"/>
      <c r="E13" s="10"/>
    </row>
    <row r="14" spans="1:5" ht="15" x14ac:dyDescent="0.2">
      <c r="A14" s="10"/>
      <c r="B14" s="44" t="s">
        <v>518</v>
      </c>
      <c r="C14" s="10"/>
      <c r="D14" s="10"/>
      <c r="E14" s="10"/>
    </row>
    <row r="15" spans="1:5" ht="15" x14ac:dyDescent="0.2">
      <c r="A15" s="10"/>
      <c r="B15" s="44" t="s">
        <v>519</v>
      </c>
      <c r="C15" s="10"/>
      <c r="D15" s="10"/>
      <c r="E15" s="10"/>
    </row>
    <row r="16" spans="1:5" ht="15" x14ac:dyDescent="0.2">
      <c r="A16" s="10"/>
      <c r="B16" s="44" t="s">
        <v>520</v>
      </c>
      <c r="C16" s="10"/>
      <c r="D16" s="10"/>
      <c r="E16" s="10"/>
    </row>
    <row r="17" spans="1:31" ht="28.5" x14ac:dyDescent="0.2">
      <c r="A17" s="19" t="s">
        <v>521</v>
      </c>
      <c r="B17" s="19" t="s">
        <v>440</v>
      </c>
      <c r="C17" s="19" t="s">
        <v>441</v>
      </c>
      <c r="D17" s="19" t="s">
        <v>522</v>
      </c>
      <c r="E17" s="45" t="s">
        <v>523</v>
      </c>
    </row>
    <row r="18" spans="1:31" ht="14.25" x14ac:dyDescent="0.2">
      <c r="A18" s="48">
        <v>1</v>
      </c>
      <c r="B18" s="48">
        <v>2</v>
      </c>
      <c r="C18" s="48">
        <v>3</v>
      </c>
      <c r="D18" s="48">
        <v>4</v>
      </c>
      <c r="E18" s="46">
        <v>5</v>
      </c>
    </row>
    <row r="19" spans="1:31" ht="33" x14ac:dyDescent="0.25">
      <c r="A19" s="87" t="str">
        <f>CONCATENATE("Локальная смета: ", Source!G20)</f>
        <v>Локальная смета: Выполнение работ по благоустройству дворовых территориях Таганского района в 2021 году</v>
      </c>
      <c r="B19" s="87"/>
      <c r="C19" s="87"/>
      <c r="D19" s="87"/>
      <c r="AE19" s="47" t="str">
        <f>CONCATENATE("Локальная смета: ", Source!G20)</f>
        <v>Локальная смета: Выполнение работ по благоустройству дворовых территориях Таганского района в 2021 году</v>
      </c>
    </row>
    <row r="20" spans="1:31" ht="16.5" x14ac:dyDescent="0.25">
      <c r="A20" s="87" t="str">
        <f>CONCATENATE("Раздел: ", Source!G24)</f>
        <v>Раздел: Раздел 4.  А/б покрытие пешеходных тротуаров на новое основание (АТ-1) - 35 м2</v>
      </c>
      <c r="B20" s="87"/>
      <c r="C20" s="87"/>
      <c r="D20" s="87"/>
      <c r="AE20" s="47" t="str">
        <f>CONCATENATE("Раздел: ", Source!G24)</f>
        <v>Раздел: Раздел 4.  А/б покрытие пешеходных тротуаров на новое основание (АТ-1) - 35 м2</v>
      </c>
    </row>
    <row r="21" spans="1:31" ht="28.5" x14ac:dyDescent="0.2">
      <c r="A21" s="51">
        <v>1</v>
      </c>
      <c r="B21" s="52" t="str">
        <f>Source!G28</f>
        <v>Разработка грунта с погрузкой на автомобили-самосвалы экскаваторами с ковшом вместимостью 0,5 м3, группа грунтов 1-3</v>
      </c>
      <c r="C21" s="53" t="str">
        <f>Source!DW28</f>
        <v>100 м3</v>
      </c>
      <c r="D21" s="54">
        <f>Source!I28</f>
        <v>0.14174999999999999</v>
      </c>
    </row>
    <row r="22" spans="1:31" ht="28.5" x14ac:dyDescent="0.2">
      <c r="A22" s="51">
        <v>2</v>
      </c>
      <c r="B22" s="52" t="str">
        <f>Source!G29</f>
        <v>Разработка грунта вручную в траншеях глубиной до 2 м без креплений с откосами, группа грунтов 1-3</v>
      </c>
      <c r="C22" s="53" t="str">
        <f>Source!DW29</f>
        <v>100 м3</v>
      </c>
      <c r="D22" s="54">
        <f>Source!I29</f>
        <v>1.575E-2</v>
      </c>
    </row>
    <row r="23" spans="1:31" ht="14.25" x14ac:dyDescent="0.2">
      <c r="A23" s="51">
        <v>3</v>
      </c>
      <c r="B23" s="52" t="str">
        <f>Source!G30</f>
        <v>Погрузка грунта вручную в автомобили-самосвалы с выгрузкой</v>
      </c>
      <c r="C23" s="53" t="str">
        <f>Source!DW30</f>
        <v>100 м3</v>
      </c>
      <c r="D23" s="54">
        <f>Source!I30</f>
        <v>1.575E-3</v>
      </c>
    </row>
    <row r="24" spans="1:31" ht="28.5" x14ac:dyDescent="0.2">
      <c r="A24" s="51">
        <v>4</v>
      </c>
      <c r="B24" s="52" t="str">
        <f>Source!G31</f>
        <v>Перевозка грунта автосамосвалами грузоподъемностью до 10 т на расстояние 1 км</v>
      </c>
      <c r="C24" s="53" t="str">
        <f>Source!DW31</f>
        <v>м3</v>
      </c>
      <c r="D24" s="54">
        <f>Source!I31</f>
        <v>15.75</v>
      </c>
    </row>
    <row r="25" spans="1:31" ht="28.5" x14ac:dyDescent="0.2">
      <c r="A25" s="51">
        <v>5</v>
      </c>
      <c r="B25" s="52" t="str">
        <f>Source!G32</f>
        <v>Перевозка грунта автосамосвалами грузоподъемностью до 10 т - добавляется на каждый последующий 1 км до 100 км (к поз. 49-3401-1-1)</v>
      </c>
      <c r="C25" s="53" t="str">
        <f>Source!DW32</f>
        <v>м3</v>
      </c>
      <c r="D25" s="54">
        <f>Source!I32</f>
        <v>15.75</v>
      </c>
    </row>
    <row r="26" spans="1:31" ht="14.25" x14ac:dyDescent="0.2">
      <c r="A26" s="51">
        <v>6</v>
      </c>
      <c r="B26" s="52" t="str">
        <f>Source!G34</f>
        <v>Устройство подстилающих и выравнивающих слоев оснований из песка</v>
      </c>
      <c r="C26" s="53" t="str">
        <f>Source!DW34</f>
        <v>100 м3</v>
      </c>
      <c r="D26" s="54">
        <f>Source!I34</f>
        <v>7.0000000000000007E-2</v>
      </c>
    </row>
    <row r="27" spans="1:31" ht="14.25" x14ac:dyDescent="0.2">
      <c r="A27" s="51">
        <v>7</v>
      </c>
      <c r="B27" s="52" t="str">
        <f>Source!G35</f>
        <v>Устройство подстилающих и выравнивающих слоев оснований из щебня</v>
      </c>
      <c r="C27" s="53" t="str">
        <f>Source!DW35</f>
        <v>100 м3</v>
      </c>
      <c r="D27" s="54">
        <f>Source!I35</f>
        <v>7.0000000000000007E-2</v>
      </c>
    </row>
    <row r="28" spans="1:31" ht="42.75" x14ac:dyDescent="0.2">
      <c r="A28" s="51">
        <v>8</v>
      </c>
      <c r="B28" s="52" t="str">
        <f>Source!G36</f>
        <v>Устройство асфальтобетонных покрытий дорожек и тротуаров двухслойных, верхний слой из песчаной асфальтобетонной смеси толщиной 3 см/ 5см</v>
      </c>
      <c r="C28" s="53" t="str">
        <f>Source!DW36</f>
        <v>100 м2</v>
      </c>
      <c r="D28" s="54">
        <f>Source!I36</f>
        <v>0.35</v>
      </c>
    </row>
    <row r="29" spans="1:31" ht="33" x14ac:dyDescent="0.25">
      <c r="A29" s="87" t="str">
        <f>CONCATENATE("Раздел: ", Source!G72)</f>
        <v xml:space="preserve">Раздел: Раздел 10.1 . Устройство новых оснований площадок (детские, спортивные, воркаут) АБП </v>
      </c>
      <c r="B29" s="87"/>
      <c r="C29" s="87"/>
      <c r="D29" s="87"/>
      <c r="AE29" s="47" t="str">
        <f>CONCATENATE("Раздел: ", Source!G72)</f>
        <v xml:space="preserve">Раздел: Раздел 10.1 . Устройство новых оснований площадок (детские, спортивные, воркаут) АБП </v>
      </c>
    </row>
    <row r="30" spans="1:31" ht="28.5" x14ac:dyDescent="0.2">
      <c r="A30" s="51">
        <v>9</v>
      </c>
      <c r="B30" s="52" t="str">
        <f>Source!G76</f>
        <v>Разработка грунта с погрузкой на автомобили-самосвалы экскаваторами с ковшом вместимостью 0,5 м3, группа грунтов 1-3</v>
      </c>
      <c r="C30" s="53" t="str">
        <f>Source!DW76</f>
        <v>100 м3</v>
      </c>
      <c r="D30" s="54">
        <f>Source!I76</f>
        <v>12.186719999999999</v>
      </c>
    </row>
    <row r="31" spans="1:31" ht="28.5" x14ac:dyDescent="0.2">
      <c r="A31" s="51">
        <v>10</v>
      </c>
      <c r="B31" s="52" t="str">
        <f>Source!G77</f>
        <v>Разработка грунта вручную в траншеях глубиной до 2 м без креплений с откосами группа грунтов 1-3</v>
      </c>
      <c r="C31" s="53" t="str">
        <f>Source!DW77</f>
        <v>100 м3</v>
      </c>
      <c r="D31" s="54">
        <f>Source!I77</f>
        <v>1.35408</v>
      </c>
    </row>
    <row r="32" spans="1:31" ht="14.25" x14ac:dyDescent="0.2">
      <c r="A32" s="51">
        <v>11</v>
      </c>
      <c r="B32" s="52" t="str">
        <f>Source!G78</f>
        <v>Погрузка грунта вручную в автомобили-самосвалы с выгрузкой</v>
      </c>
      <c r="C32" s="53" t="str">
        <f>Source!DW78</f>
        <v>100 м3</v>
      </c>
      <c r="D32" s="54">
        <f>Source!I78</f>
        <v>0.135408</v>
      </c>
    </row>
    <row r="33" spans="1:31" ht="28.5" x14ac:dyDescent="0.2">
      <c r="A33" s="51">
        <v>12</v>
      </c>
      <c r="B33" s="52" t="str">
        <f>Source!G79</f>
        <v>Перевозка грунта автосамосвалами грузоподъемностью до 10 т на расстояние 1 км</v>
      </c>
      <c r="C33" s="53" t="str">
        <f>Source!DW79</f>
        <v>м3</v>
      </c>
      <c r="D33" s="54">
        <f>Source!I79</f>
        <v>1354.08</v>
      </c>
    </row>
    <row r="34" spans="1:31" ht="28.5" x14ac:dyDescent="0.2">
      <c r="A34" s="51">
        <v>13</v>
      </c>
      <c r="B34" s="52" t="str">
        <f>Source!G80</f>
        <v>Перевозка грунта автосамосвалами грузоподъемностью до 10 т - добавляется на каждый последующий 1 км до 100 км (к поз. 49-3401-1-1)</v>
      </c>
      <c r="C34" s="53" t="str">
        <f>Source!DW80</f>
        <v>м3</v>
      </c>
      <c r="D34" s="54">
        <f>Source!I80</f>
        <v>1354.08</v>
      </c>
    </row>
    <row r="35" spans="1:31" ht="14.25" x14ac:dyDescent="0.2">
      <c r="A35" s="51">
        <v>14</v>
      </c>
      <c r="B35" s="52" t="str">
        <f>Source!G82</f>
        <v>Устройство подстилающих и выравнивающих слоев оснований из песка</v>
      </c>
      <c r="C35" s="53" t="str">
        <f>Source!DW82</f>
        <v>100 м3</v>
      </c>
      <c r="D35" s="54">
        <f>Source!I82</f>
        <v>6.4480000000000004</v>
      </c>
    </row>
    <row r="36" spans="1:31" ht="14.25" x14ac:dyDescent="0.2">
      <c r="A36" s="51">
        <v>15</v>
      </c>
      <c r="B36" s="52" t="str">
        <f>Source!G83</f>
        <v>Устройство подстилающих и выравнивающих слоев оснований из щебня</v>
      </c>
      <c r="C36" s="53" t="str">
        <f>Source!DW83</f>
        <v>100 м3</v>
      </c>
      <c r="D36" s="54" t="str">
        <f>Source!I83</f>
        <v>4,7256</v>
      </c>
    </row>
    <row r="37" spans="1:31" ht="42.75" x14ac:dyDescent="0.2">
      <c r="A37" s="51">
        <v>16</v>
      </c>
      <c r="B37" s="52" t="str">
        <f>Source!G84</f>
        <v>Устройство асфальтобетонных покрытий дорожек и тротуаров двухслойных, верхний слой из песчаной асфальтобетонной смеси толщиной 3 см</v>
      </c>
      <c r="C37" s="53" t="str">
        <f>Source!DW84</f>
        <v>100 м2</v>
      </c>
      <c r="D37" s="54">
        <f>Source!I84</f>
        <v>24</v>
      </c>
    </row>
    <row r="38" spans="1:31" ht="33" x14ac:dyDescent="0.25">
      <c r="A38" s="87" t="str">
        <f>CONCATENATE("Раздел: ", Source!G120)</f>
        <v xml:space="preserve">Раздел: Раздел 11. Замена\устройство бортового камня садового(для оснований площадок детских, спортивных, воркаут) </v>
      </c>
      <c r="B38" s="87"/>
      <c r="C38" s="87"/>
      <c r="D38" s="87"/>
      <c r="AE38" s="47" t="str">
        <f>CONCATENATE("Раздел: ", Source!G120)</f>
        <v xml:space="preserve">Раздел: Раздел 11. Замена\устройство бортового камня садового(для оснований площадок детских, спортивных, воркаут) </v>
      </c>
    </row>
    <row r="39" spans="1:31" ht="14.25" x14ac:dyDescent="0.2">
      <c r="A39" s="51">
        <v>17</v>
      </c>
      <c r="B39" s="52" t="str">
        <f>Source!G124</f>
        <v>Разборка бортовых камней на бетонном основании</v>
      </c>
      <c r="C39" s="53" t="str">
        <f>Source!DW124</f>
        <v>100 м</v>
      </c>
      <c r="D39" s="54">
        <f>Source!I124</f>
        <v>5.16</v>
      </c>
    </row>
    <row r="40" spans="1:31" ht="28.5" x14ac:dyDescent="0.2">
      <c r="A40" s="51">
        <v>18</v>
      </c>
      <c r="B40" s="52" t="str">
        <f>Source!G125</f>
        <v>Погрузка и выгрузка вручную строительного мусора на транспортные средства</v>
      </c>
      <c r="C40" s="53" t="str">
        <f>Source!DW125</f>
        <v>т</v>
      </c>
      <c r="D40" s="54">
        <f>Source!I125</f>
        <v>7.9257600000000004</v>
      </c>
    </row>
    <row r="41" spans="1:31" ht="28.5" x14ac:dyDescent="0.2">
      <c r="A41" s="51">
        <v>19</v>
      </c>
      <c r="B41" s="52" t="str">
        <f>Source!G126</f>
        <v>Механизированная погрузка строительного мусора в автомобили-самосвалы</v>
      </c>
      <c r="C41" s="53" t="str">
        <f>Source!DW126</f>
        <v>т</v>
      </c>
      <c r="D41" s="54">
        <f>Source!I126</f>
        <v>85.017600000000002</v>
      </c>
    </row>
    <row r="42" spans="1:31" ht="28.5" x14ac:dyDescent="0.2">
      <c r="A42" s="51">
        <v>20</v>
      </c>
      <c r="B42" s="52" t="str">
        <f>Source!G127</f>
        <v>Перевозка строительного мусора автосамосвалами грузоподъемностью до 10 т на расстояние 1 км - при погрузке вручную</v>
      </c>
      <c r="C42" s="53" t="str">
        <f>Source!DW127</f>
        <v>т</v>
      </c>
      <c r="D42" s="54">
        <f>Source!I127</f>
        <v>7.9257600000000004</v>
      </c>
    </row>
    <row r="43" spans="1:31" ht="28.5" x14ac:dyDescent="0.2">
      <c r="A43" s="51">
        <v>21</v>
      </c>
      <c r="B43" s="52" t="str">
        <f>Source!G128</f>
        <v>Перевозка строительного мусора автосамосвалами грузоподъемностью до 10 т на расстояние 1 км - при механизированной погрузке</v>
      </c>
      <c r="C43" s="53" t="str">
        <f>Source!DW128</f>
        <v>т</v>
      </c>
      <c r="D43" s="54">
        <f>Source!I128</f>
        <v>85.017600000000002</v>
      </c>
    </row>
    <row r="44" spans="1:31" ht="28.5" x14ac:dyDescent="0.2">
      <c r="A44" s="51">
        <v>22</v>
      </c>
      <c r="B44" s="52" t="str">
        <f>Source!G129</f>
        <v>Перевозка строительного мусора автосамосвалами грузоподъемностью до 10 т - добавляется на каждый последующий 1 км до 100 км</v>
      </c>
      <c r="C44" s="53" t="str">
        <f>Source!DW129</f>
        <v>т</v>
      </c>
      <c r="D44" s="54">
        <f>Source!I129</f>
        <v>92.943359999999998</v>
      </c>
    </row>
    <row r="45" spans="1:31" ht="14.25" x14ac:dyDescent="0.2">
      <c r="A45" s="51">
        <v>23</v>
      </c>
      <c r="B45" s="52" t="str">
        <f>Source!G131</f>
        <v>Устройство подстилающих и выравнивающих слоев оснований из песка</v>
      </c>
      <c r="C45" s="53" t="str">
        <f>Source!DW131</f>
        <v>100 м3</v>
      </c>
      <c r="D45" s="54">
        <f>Source!I131</f>
        <v>6.4500000000000002E-2</v>
      </c>
    </row>
    <row r="46" spans="1:31" ht="28.5" x14ac:dyDescent="0.2">
      <c r="A46" s="51">
        <v>24</v>
      </c>
      <c r="B46" s="52" t="str">
        <f>Source!G132</f>
        <v>Установка бортовых камней бетонных газонных и садовых марка БР60.20.8, при других видах покрытий</v>
      </c>
      <c r="C46" s="53" t="str">
        <f>Source!DW132</f>
        <v>100 м</v>
      </c>
      <c r="D46" s="54">
        <f>Source!I132</f>
        <v>5.16</v>
      </c>
    </row>
    <row r="47" spans="1:31" ht="16.5" x14ac:dyDescent="0.25">
      <c r="A47" s="87" t="str">
        <f>CONCATENATE("Раздел: ", Source!G166)</f>
        <v>Раздел: Раздел 20.2 Ремонт газона (посевной) 10см</v>
      </c>
      <c r="B47" s="87"/>
      <c r="C47" s="87"/>
      <c r="D47" s="87"/>
    </row>
    <row r="48" spans="1:31" ht="28.5" x14ac:dyDescent="0.2">
      <c r="A48" s="51">
        <v>25</v>
      </c>
      <c r="B48" s="52" t="str">
        <f>Source!G170</f>
        <v>Разработка грунта с погрузкой на автомобили-самосвалы экскаваторами с ковшом вместимостью 0,5 м3, группа грунтов 1-3</v>
      </c>
      <c r="C48" s="53" t="str">
        <f>Source!DW170</f>
        <v>100 м3</v>
      </c>
      <c r="D48" s="54">
        <f>Source!I170</f>
        <v>0.51300000000000001</v>
      </c>
    </row>
    <row r="49" spans="1:31" ht="28.5" x14ac:dyDescent="0.2">
      <c r="A49" s="51">
        <v>26</v>
      </c>
      <c r="B49" s="52" t="str">
        <f>Source!G171</f>
        <v>Разработка грунта с погрузкой на автомобили-самосвалы экскаваторами с ковшом вместимостью 0,5 м3, группа грунтов 1-3</v>
      </c>
      <c r="C49" s="53" t="str">
        <f>Source!DW171</f>
        <v>100 м3</v>
      </c>
      <c r="D49" s="54">
        <f>Source!I171</f>
        <v>5.1299999999999998E-2</v>
      </c>
    </row>
    <row r="50" spans="1:31" ht="14.25" x14ac:dyDescent="0.2">
      <c r="A50" s="51">
        <v>27</v>
      </c>
      <c r="B50" s="52" t="str">
        <f>Source!G172</f>
        <v>Погрузка грунта вручную в автомобили-самосвалы с выгрузкой</v>
      </c>
      <c r="C50" s="53" t="str">
        <f>Source!DW172</f>
        <v>100 м3</v>
      </c>
      <c r="D50" s="54">
        <f>Source!I172</f>
        <v>5.7000000000000002E-3</v>
      </c>
    </row>
    <row r="51" spans="1:31" ht="28.5" x14ac:dyDescent="0.2">
      <c r="A51" s="51">
        <v>28</v>
      </c>
      <c r="B51" s="52" t="str">
        <f>Source!G173</f>
        <v>Перевозка грунта автосамосвалами грузоподъемностью до 10 т на расстояние 1 км</v>
      </c>
      <c r="C51" s="53" t="str">
        <f>Source!DW173</f>
        <v>м3</v>
      </c>
      <c r="D51" s="54">
        <f>Source!I173</f>
        <v>57</v>
      </c>
    </row>
    <row r="52" spans="1:31" ht="28.5" x14ac:dyDescent="0.2">
      <c r="A52" s="51">
        <v>29</v>
      </c>
      <c r="B52" s="52" t="str">
        <f>Source!G174</f>
        <v>Перевозка грунта автосамосвалами грузоподъемностью до 10 т - добавляется на каждый последующий 1 км до 100 км (к поз. 49-3401-1-1)</v>
      </c>
      <c r="C52" s="53" t="str">
        <f>Source!DW174</f>
        <v>м3</v>
      </c>
      <c r="D52" s="54">
        <f>Source!I174</f>
        <v>57</v>
      </c>
    </row>
    <row r="53" spans="1:31" ht="42.75" x14ac:dyDescent="0.2">
      <c r="A53" s="51">
        <v>30</v>
      </c>
      <c r="B53" s="52" t="str">
        <f>Source!G176</f>
        <v>Подготовка почвы для устройства партерного и обыкновенного газонов с внесением растительной земли слоем 15 см механизированным способом</v>
      </c>
      <c r="C53" s="53" t="str">
        <f>Source!DW176</f>
        <v>100 м2</v>
      </c>
      <c r="D53" s="54">
        <f>Source!I176</f>
        <v>4.2750000000000004</v>
      </c>
    </row>
    <row r="54" spans="1:31" ht="28.5" x14ac:dyDescent="0.2">
      <c r="A54" s="51">
        <v>31</v>
      </c>
      <c r="B54" s="52" t="str">
        <f>Source!G177</f>
        <v>Подготовка почвы для устройства партерного и обыкновенного газонов с внесением растительной земли слоем 15 см вручную</v>
      </c>
      <c r="C54" s="53" t="str">
        <f>Source!DW177</f>
        <v>100 м2</v>
      </c>
      <c r="D54" s="54">
        <f>Source!I177</f>
        <v>1.425</v>
      </c>
    </row>
    <row r="55" spans="1:31" ht="28.5" x14ac:dyDescent="0.2">
      <c r="A55" s="51">
        <v>32</v>
      </c>
      <c r="B55" s="52" t="str">
        <f>Source!G178</f>
        <v>Подготовка почвы для устройства партерного и обыкновенного газонов на каждые 5 см изменения толщины слоя добавлять или исключать</v>
      </c>
      <c r="C55" s="53" t="str">
        <f>Source!DW178</f>
        <v>100 м2</v>
      </c>
      <c r="D55" s="54">
        <f>Source!I178</f>
        <v>-5.7</v>
      </c>
    </row>
    <row r="56" spans="1:31" ht="14.25" x14ac:dyDescent="0.2">
      <c r="A56" s="51">
        <v>33</v>
      </c>
      <c r="B56" s="52" t="str">
        <f>Source!G179</f>
        <v>Посев газонов партерных, мавританских, и обыкновенных вручную</v>
      </c>
      <c r="C56" s="53" t="str">
        <f>Source!DW179</f>
        <v>100 м2</v>
      </c>
      <c r="D56" s="54">
        <f>Source!I179</f>
        <v>5.7</v>
      </c>
    </row>
    <row r="57" spans="1:31" ht="16.5" x14ac:dyDescent="0.25">
      <c r="A57" s="87" t="str">
        <f>CONCATENATE("Раздел: ", Source!G213)</f>
        <v>Раздел: 22.1 Посадка деревьев с комо 0,8х0,6м, высотой от 3м - 8 шт.</v>
      </c>
      <c r="B57" s="87"/>
      <c r="C57" s="87"/>
      <c r="D57" s="87"/>
    </row>
    <row r="58" spans="1:31" ht="42.75" x14ac:dyDescent="0.2">
      <c r="A58" s="51">
        <v>34</v>
      </c>
      <c r="B58" s="52" t="str">
        <f>Source!G217</f>
        <v>Подготовка стандартных посадочных мест для деревьев и кустарников механизированным способом, с круглым комом земли размером 0,8х0,6 м с добавлением растительной земли до 100%</v>
      </c>
      <c r="C58" s="53" t="str">
        <f>Source!DW217</f>
        <v>10 ям</v>
      </c>
      <c r="D58" s="54">
        <f>Source!I217</f>
        <v>0.32</v>
      </c>
    </row>
    <row r="59" spans="1:31" ht="28.5" x14ac:dyDescent="0.2">
      <c r="A59" s="51">
        <v>35</v>
      </c>
      <c r="B59" s="52" t="str">
        <f>Source!G218</f>
        <v>Подготовка стандартных посадочных мест вручную, с круглым комом земли размером 0,8х0,6 м с добавлением растительной земли до 100%</v>
      </c>
      <c r="C59" s="53" t="str">
        <f>Source!DW218</f>
        <v>10 ям</v>
      </c>
      <c r="D59" s="54">
        <f>Source!I218</f>
        <v>0.48</v>
      </c>
    </row>
    <row r="60" spans="1:31" ht="28.5" x14ac:dyDescent="0.2">
      <c r="A60" s="51">
        <v>36</v>
      </c>
      <c r="B60" s="52" t="str">
        <f>Source!G219</f>
        <v>Посадка деревьев и кустарников с комом земли, диаметром 0,8 м и высотой 0,6 м (без стоимости деревьев и кустарников)</v>
      </c>
      <c r="C60" s="53" t="str">
        <f>Source!DW219</f>
        <v>10 шт.</v>
      </c>
      <c r="D60" s="54">
        <f>Source!I219</f>
        <v>0.8</v>
      </c>
    </row>
    <row r="61" spans="1:31" ht="33" x14ac:dyDescent="0.25">
      <c r="A61" s="87" t="str">
        <f>CONCATENATE("Раздел: ", Source!G251)</f>
        <v xml:space="preserve">Раздел: Раздел 24.1 Устройство покрытия на площадке для игровых видов спорта (1 см - EPDM) </v>
      </c>
      <c r="B61" s="87"/>
      <c r="C61" s="87"/>
      <c r="D61" s="87"/>
      <c r="AE61" s="47" t="str">
        <f>CONCATENATE("Раздел: ", Source!G251)</f>
        <v xml:space="preserve">Раздел: Раздел 24.1 Устройство покрытия на площадке для игровых видов спорта (1 см - EPDM) </v>
      </c>
    </row>
    <row r="62" spans="1:31" ht="28.5" x14ac:dyDescent="0.2">
      <c r="A62" s="51">
        <v>37</v>
      </c>
      <c r="B62" s="52" t="str">
        <f>Source!G255</f>
        <v>Устройство наливного полиуретанового покрытия спортивных площадок и беговых дорожек толщиной 10 мм</v>
      </c>
      <c r="C62" s="53" t="str">
        <f>Source!DW255</f>
        <v>100 м2</v>
      </c>
      <c r="D62" s="54">
        <f>Source!I255</f>
        <v>14</v>
      </c>
    </row>
    <row r="63" spans="1:31" ht="16.5" x14ac:dyDescent="0.25">
      <c r="A63" s="87" t="str">
        <f>CONCATENATE("Раздел: ", Source!G292)</f>
        <v>Раздел: Раздел 27.1 Устройство нового пешеходного покрытия из бетонной плитки - 60 м2</v>
      </c>
      <c r="B63" s="87"/>
      <c r="C63" s="87"/>
      <c r="D63" s="87"/>
      <c r="AE63" s="47" t="str">
        <f>CONCATENATE("Раздел: ", Source!G292)</f>
        <v>Раздел: Раздел 27.1 Устройство нового пешеходного покрытия из бетонной плитки - 60 м2</v>
      </c>
    </row>
    <row r="64" spans="1:31" ht="28.5" x14ac:dyDescent="0.2">
      <c r="A64" s="51">
        <v>38</v>
      </c>
      <c r="B64" s="52" t="str">
        <f>Source!G296</f>
        <v>Разработка грунта с погрузкой на автомобили-самосвалы экскаваторами с ковшом вместимостью 0,5 м3, группа грунтов 1-3</v>
      </c>
      <c r="C64" s="53" t="str">
        <f>Source!DW296</f>
        <v>100 м3</v>
      </c>
      <c r="D64" s="54">
        <f>Source!I296</f>
        <v>0.23219999999999999</v>
      </c>
    </row>
    <row r="65" spans="1:31" ht="28.5" x14ac:dyDescent="0.2">
      <c r="A65" s="51">
        <v>39</v>
      </c>
      <c r="B65" s="52" t="str">
        <f>Source!G297</f>
        <v>Разработка грунта вручную в траншеях глубиной до 2 м без креплений с откосами группа грунтов 1-3</v>
      </c>
      <c r="C65" s="53" t="str">
        <f>Source!DW297</f>
        <v>100 м3</v>
      </c>
      <c r="D65" s="54">
        <f>Source!I297</f>
        <v>2.58E-2</v>
      </c>
    </row>
    <row r="66" spans="1:31" ht="14.25" x14ac:dyDescent="0.2">
      <c r="A66" s="51">
        <v>40</v>
      </c>
      <c r="B66" s="52" t="str">
        <f>Source!G298</f>
        <v>Погрузка грунта вручную в автомобили-самосвалы с выгрузкой</v>
      </c>
      <c r="C66" s="53" t="str">
        <f>Source!DW298</f>
        <v>100 м3</v>
      </c>
      <c r="D66" s="54">
        <f>Source!I298</f>
        <v>2.5799999999999998E-3</v>
      </c>
    </row>
    <row r="67" spans="1:31" ht="28.5" x14ac:dyDescent="0.2">
      <c r="A67" s="51">
        <v>41</v>
      </c>
      <c r="B67" s="52" t="str">
        <f>Source!G299</f>
        <v>Перевозка грунта автосамосвалами грузоподъемностью до 10 т на расстояние 1 км</v>
      </c>
      <c r="C67" s="53" t="str">
        <f>Source!DW299</f>
        <v>м3</v>
      </c>
      <c r="D67" s="54">
        <f>Source!I299</f>
        <v>25.8</v>
      </c>
    </row>
    <row r="68" spans="1:31" ht="28.5" x14ac:dyDescent="0.2">
      <c r="A68" s="51">
        <v>42</v>
      </c>
      <c r="B68" s="52" t="str">
        <f>Source!G300</f>
        <v>Перевозка грунта автосамосвалами грузоподъемностью до 10 т - добавляется на каждый последующий 1 км до 100 км (к поз. 49-3401-1-1)</v>
      </c>
      <c r="C68" s="53" t="str">
        <f>Source!DW300</f>
        <v>м3</v>
      </c>
      <c r="D68" s="54">
        <f>Source!I300</f>
        <v>25.8</v>
      </c>
    </row>
    <row r="69" spans="1:31" ht="14.25" x14ac:dyDescent="0.2">
      <c r="A69" s="51">
        <v>43</v>
      </c>
      <c r="B69" s="52" t="str">
        <f>Source!G302</f>
        <v>Устройство подстилающих и выравнивающих слоев оснований из песка</v>
      </c>
      <c r="C69" s="53" t="str">
        <f>Source!DW302</f>
        <v>100 м3</v>
      </c>
      <c r="D69" s="54">
        <f>Source!I302</f>
        <v>0.12</v>
      </c>
    </row>
    <row r="70" spans="1:31" ht="14.25" x14ac:dyDescent="0.2">
      <c r="A70" s="51">
        <v>44</v>
      </c>
      <c r="B70" s="52" t="str">
        <f>Source!G303</f>
        <v>Устройство подстилающих и выравнивающих слоев оснований из щебня</v>
      </c>
      <c r="C70" s="53" t="str">
        <f>Source!DW303</f>
        <v>100 м3</v>
      </c>
      <c r="D70" s="54">
        <f>Source!I303</f>
        <v>7.1999999999999995E-2</v>
      </c>
    </row>
    <row r="71" spans="1:31" ht="28.5" x14ac:dyDescent="0.2">
      <c r="A71" s="51">
        <v>45</v>
      </c>
      <c r="B71" s="52" t="str">
        <f>Source!G304</f>
        <v>Устройство покрытий тротуаров из бетонной плитки типа "Брусчатка" рядовым или паркетным мощением</v>
      </c>
      <c r="C71" s="53" t="str">
        <f>Source!DW304</f>
        <v>100 м2</v>
      </c>
      <c r="D71" s="54">
        <f>Source!I304</f>
        <v>0.6</v>
      </c>
    </row>
    <row r="72" spans="1:31" ht="33" x14ac:dyDescent="0.25">
      <c r="A72" s="87" t="str">
        <f>CONCATENATE("Раздел: ", Source!G339)</f>
        <v xml:space="preserve">Раздел: 28. Замена/ устройство бортового камня  садового (для дорожно-тропиночной сети) </v>
      </c>
      <c r="B72" s="87"/>
      <c r="C72" s="87"/>
      <c r="D72" s="87"/>
      <c r="AE72" s="47" t="str">
        <f>CONCATENATE("Раздел: ", Source!G339)</f>
        <v xml:space="preserve">Раздел: 28. Замена/ устройство бортового камня  садового (для дорожно-тропиночной сети) </v>
      </c>
    </row>
    <row r="73" spans="1:31" ht="14.25" x14ac:dyDescent="0.2">
      <c r="A73" s="51">
        <v>46</v>
      </c>
      <c r="B73" s="52" t="str">
        <f>Source!G343</f>
        <v>Разборка бортовых камней на бетонном основании</v>
      </c>
      <c r="C73" s="53" t="str">
        <f>Source!DW343</f>
        <v>100 м</v>
      </c>
      <c r="D73" s="54">
        <f>Source!I343</f>
        <v>1.4</v>
      </c>
    </row>
    <row r="74" spans="1:31" ht="28.5" x14ac:dyDescent="0.2">
      <c r="A74" s="51">
        <v>47</v>
      </c>
      <c r="B74" s="52" t="str">
        <f>Source!G344</f>
        <v>Погрузка и выгрузка вручную строительного мусора на транспортные средства</v>
      </c>
      <c r="C74" s="53" t="str">
        <f>Source!DW344</f>
        <v>т</v>
      </c>
      <c r="D74" s="54">
        <f>Source!I344</f>
        <v>2.1503999999999999</v>
      </c>
    </row>
    <row r="75" spans="1:31" ht="28.5" x14ac:dyDescent="0.2">
      <c r="A75" s="51">
        <v>48</v>
      </c>
      <c r="B75" s="52" t="str">
        <f>Source!G345</f>
        <v>Механизированная погрузка строительного мусора в автомобили-самосвалы</v>
      </c>
      <c r="C75" s="53" t="str">
        <f>Source!DW345</f>
        <v>т</v>
      </c>
      <c r="D75" s="54">
        <f>Source!I345</f>
        <v>19.3536</v>
      </c>
    </row>
    <row r="76" spans="1:31" ht="28.5" x14ac:dyDescent="0.2">
      <c r="A76" s="51">
        <v>49</v>
      </c>
      <c r="B76" s="52" t="str">
        <f>Source!G346</f>
        <v>Перевозка строительного мусора автосамосвалами грузоподъемностью до 10 т на расстояние 1 км - при погрузке вручную</v>
      </c>
      <c r="C76" s="53" t="str">
        <f>Source!DW346</f>
        <v>т</v>
      </c>
      <c r="D76" s="54">
        <f>Source!I346</f>
        <v>2.1503999999999999</v>
      </c>
    </row>
    <row r="77" spans="1:31" ht="28.5" x14ac:dyDescent="0.2">
      <c r="A77" s="51">
        <v>50</v>
      </c>
      <c r="B77" s="52" t="str">
        <f>Source!G347</f>
        <v>Перевозка строительного мусора автосамосвалами грузоподъемностью до 10 т на расстояние 1 км - при механизированной погрузке</v>
      </c>
      <c r="C77" s="53" t="str">
        <f>Source!DW347</f>
        <v>т</v>
      </c>
      <c r="D77" s="54">
        <f>Source!I347</f>
        <v>19.3536</v>
      </c>
    </row>
    <row r="78" spans="1:31" ht="28.5" x14ac:dyDescent="0.2">
      <c r="A78" s="51">
        <v>51</v>
      </c>
      <c r="B78" s="52" t="str">
        <f>Source!G348</f>
        <v>Перевозка строительного мусора автосамосвалами грузоподъемностью до 10 т - добавляется на каждый последующий 1 км до 100 км</v>
      </c>
      <c r="C78" s="53" t="str">
        <f>Source!DW348</f>
        <v>т</v>
      </c>
      <c r="D78" s="54">
        <f>Source!I348</f>
        <v>21.504000000000001</v>
      </c>
    </row>
    <row r="79" spans="1:31" ht="14.25" x14ac:dyDescent="0.2">
      <c r="A79" s="51">
        <v>52</v>
      </c>
      <c r="B79" s="52" t="str">
        <f>Source!G350</f>
        <v>Устройство подстилающих и выравнивающих слоев оснований из песка</v>
      </c>
      <c r="C79" s="53" t="str">
        <f>Source!DW350</f>
        <v>100 м3</v>
      </c>
      <c r="D79" s="54">
        <f>Source!I350</f>
        <v>1.7500000000000002E-2</v>
      </c>
    </row>
    <row r="80" spans="1:31" ht="28.5" x14ac:dyDescent="0.2">
      <c r="A80" s="51">
        <v>53</v>
      </c>
      <c r="B80" s="52" t="str">
        <f>Source!G351</f>
        <v>Установка бортовых камней бетонных газонных и садовых марка БР60.20.8, при других видах покрытий</v>
      </c>
      <c r="C80" s="53" t="str">
        <f>Source!DW351</f>
        <v>100 м</v>
      </c>
      <c r="D80" s="54">
        <f>Source!I351</f>
        <v>1.4</v>
      </c>
    </row>
    <row r="81" spans="1:31" ht="33" x14ac:dyDescent="0.25">
      <c r="A81" s="87" t="str">
        <f>CONCATENATE("Раздел: ", Source!G382)</f>
        <v>Раздел: Раздел. 48 Устройство покрытия из искусственной травы - 1000 м2 (Спорт. общестрой)</v>
      </c>
      <c r="B81" s="87"/>
      <c r="C81" s="87"/>
      <c r="D81" s="87"/>
      <c r="AE81" s="47" t="str">
        <f>CONCATENATE("Раздел: ", Source!G382)</f>
        <v>Раздел: Раздел. 48 Устройство покрытия из искусственной травы - 1000 м2 (Спорт. общестрой)</v>
      </c>
    </row>
    <row r="82" spans="1:31" ht="14.25" x14ac:dyDescent="0.2">
      <c r="A82" s="51">
        <v>54</v>
      </c>
      <c r="B82" s="52" t="str">
        <f>Source!G386</f>
        <v>Устройство покрытия "искусственная трава"</v>
      </c>
      <c r="C82" s="53" t="str">
        <f>Source!DW386</f>
        <v>100 м2</v>
      </c>
      <c r="D82" s="54">
        <f>Source!I386</f>
        <v>10</v>
      </c>
    </row>
    <row r="83" spans="1:31" ht="16.5" x14ac:dyDescent="0.25">
      <c r="A83" s="87" t="str">
        <f>CONCATENATE("Раздел: ", Source!G420)</f>
        <v>Раздел: Раздел 61. Демонтажные работы (Спорт. общестрой)</v>
      </c>
      <c r="B83" s="87"/>
      <c r="C83" s="87"/>
      <c r="D83" s="87"/>
    </row>
    <row r="84" spans="1:31" ht="14.25" x14ac:dyDescent="0.2">
      <c r="A84" s="50">
        <v>55</v>
      </c>
      <c r="B84" s="40" t="str">
        <f>Source!G424</f>
        <v>Разборка лестничных маршей на одном косоуре</v>
      </c>
      <c r="C84" s="41" t="str">
        <f>Source!DW424</f>
        <v>100 м2</v>
      </c>
      <c r="D84" s="38">
        <f>Source!I424</f>
        <v>0.62</v>
      </c>
    </row>
    <row r="87" spans="1:31" ht="15" x14ac:dyDescent="0.25">
      <c r="A87" s="34"/>
      <c r="B87" s="34" t="s">
        <v>524</v>
      </c>
      <c r="C87" s="34"/>
      <c r="D87" s="34"/>
      <c r="E87" s="10"/>
    </row>
  </sheetData>
  <mergeCells count="15">
    <mergeCell ref="A20:D20"/>
    <mergeCell ref="C5:D5"/>
    <mergeCell ref="C7:D7"/>
    <mergeCell ref="A11:D11"/>
    <mergeCell ref="A12:D12"/>
    <mergeCell ref="A19:D19"/>
    <mergeCell ref="A72:D72"/>
    <mergeCell ref="A81:D81"/>
    <mergeCell ref="A83:D83"/>
    <mergeCell ref="A29:D29"/>
    <mergeCell ref="A38:D38"/>
    <mergeCell ref="A47:D47"/>
    <mergeCell ref="A57:D57"/>
    <mergeCell ref="A61:D61"/>
    <mergeCell ref="A63:D63"/>
  </mergeCells>
  <pageMargins left="0.4" right="0.2" top="0.2" bottom="0.4" header="0.2" footer="0.2"/>
  <pageSetup paperSize="9" scale="87" fitToHeight="0" orientation="portrait" verticalDpi="0" r:id="rId1"/>
  <headerFooter>
    <oddHeader>&amp;L&amp;8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26"/>
  <sheetViews>
    <sheetView topLeftCell="A303" workbookViewId="0">
      <selection activeCell="G333" sqref="G333"/>
    </sheetView>
  </sheetViews>
  <sheetFormatPr defaultColWidth="9.140625" defaultRowHeight="12.75" x14ac:dyDescent="0.2"/>
  <cols>
    <col min="1" max="6" width="9.140625" customWidth="1"/>
    <col min="7" max="7" width="58.140625" customWidth="1"/>
    <col min="8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33353</v>
      </c>
      <c r="M1">
        <v>10</v>
      </c>
    </row>
    <row r="12" spans="1:133" x14ac:dyDescent="0.2">
      <c r="A12" s="1">
        <v>1</v>
      </c>
      <c r="B12" s="1">
        <v>522</v>
      </c>
      <c r="C12" s="1">
        <v>0</v>
      </c>
      <c r="D12" s="1">
        <f>ROW(A487)</f>
        <v>487</v>
      </c>
      <c r="E12" s="1">
        <v>0</v>
      </c>
      <c r="F12" s="1">
        <v>1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B487</f>
        <v>522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>
        <f t="shared" si="0"/>
        <v>1</v>
      </c>
      <c r="G18" s="2" t="str">
        <f t="shared" si="0"/>
        <v>Благоустройство дворовых территорий Таганского района ЦАО г. Москвы в 2021 году (1-й этап)</v>
      </c>
      <c r="H18" s="2"/>
      <c r="I18" s="2"/>
      <c r="J18" s="2"/>
      <c r="K18" s="2"/>
      <c r="L18" s="2"/>
      <c r="M18" s="2"/>
      <c r="N18" s="2"/>
      <c r="O18" s="2">
        <f t="shared" ref="O18:AT18" si="1">O487</f>
        <v>8281550.2199999997</v>
      </c>
      <c r="P18" s="2">
        <f t="shared" si="1"/>
        <v>5779276.1699999999</v>
      </c>
      <c r="Q18" s="2">
        <f t="shared" si="1"/>
        <v>1936718.59</v>
      </c>
      <c r="R18" s="2">
        <f t="shared" si="1"/>
        <v>992170.94</v>
      </c>
      <c r="S18" s="2">
        <f t="shared" si="1"/>
        <v>565555.46</v>
      </c>
      <c r="T18" s="2">
        <f t="shared" si="1"/>
        <v>0</v>
      </c>
      <c r="U18" s="2">
        <f t="shared" si="1"/>
        <v>2822.3932064999999</v>
      </c>
      <c r="V18" s="2">
        <f t="shared" si="1"/>
        <v>0</v>
      </c>
      <c r="W18" s="2">
        <f t="shared" si="1"/>
        <v>0</v>
      </c>
      <c r="X18" s="2">
        <f t="shared" si="1"/>
        <v>395888.82</v>
      </c>
      <c r="Y18" s="2">
        <f t="shared" si="1"/>
        <v>56555.53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8965434.5099999998</v>
      </c>
      <c r="AS18" s="2">
        <f t="shared" si="1"/>
        <v>221215.23</v>
      </c>
      <c r="AT18" s="2">
        <f t="shared" si="1"/>
        <v>0</v>
      </c>
      <c r="AU18" s="2">
        <f t="shared" ref="AU18:BZ18" si="2">AU487</f>
        <v>8744219.2799999993</v>
      </c>
      <c r="AV18" s="2">
        <f t="shared" si="2"/>
        <v>5779276.1699999999</v>
      </c>
      <c r="AW18" s="2">
        <f t="shared" si="2"/>
        <v>5779276.1699999999</v>
      </c>
      <c r="AX18" s="2">
        <f t="shared" si="2"/>
        <v>0</v>
      </c>
      <c r="AY18" s="2">
        <f t="shared" si="2"/>
        <v>5779276.1699999999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CA487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DG487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EM487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FS487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ROW(A458)</f>
        <v>458</v>
      </c>
      <c r="E20" s="1"/>
      <c r="F20" s="1" t="s">
        <v>15</v>
      </c>
      <c r="G20" s="1" t="s">
        <v>16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B458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Выполнение работ по благоустройству дворовых территориях Таганского района в 2021 году</v>
      </c>
      <c r="H22" s="2"/>
      <c r="I22" s="2"/>
      <c r="J22" s="2"/>
      <c r="K22" s="2"/>
      <c r="L22" s="2"/>
      <c r="M22" s="2"/>
      <c r="N22" s="2"/>
      <c r="O22" s="2">
        <f t="shared" ref="O22:AT22" si="8">O458</f>
        <v>8281550.2199999997</v>
      </c>
      <c r="P22" s="2">
        <f t="shared" si="8"/>
        <v>5779276.1699999999</v>
      </c>
      <c r="Q22" s="2">
        <f t="shared" si="8"/>
        <v>1936718.59</v>
      </c>
      <c r="R22" s="2">
        <f t="shared" si="8"/>
        <v>992170.94</v>
      </c>
      <c r="S22" s="2">
        <f t="shared" si="8"/>
        <v>565555.46</v>
      </c>
      <c r="T22" s="2">
        <f t="shared" si="8"/>
        <v>0</v>
      </c>
      <c r="U22" s="2">
        <f t="shared" si="8"/>
        <v>2822.3932064999999</v>
      </c>
      <c r="V22" s="2">
        <f t="shared" si="8"/>
        <v>0</v>
      </c>
      <c r="W22" s="2">
        <f t="shared" si="8"/>
        <v>0</v>
      </c>
      <c r="X22" s="2">
        <f t="shared" si="8"/>
        <v>395888.82</v>
      </c>
      <c r="Y22" s="2">
        <f t="shared" si="8"/>
        <v>56555.53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8965434.5099999998</v>
      </c>
      <c r="AS22" s="2">
        <f t="shared" si="8"/>
        <v>221215.23</v>
      </c>
      <c r="AT22" s="2">
        <f t="shared" si="8"/>
        <v>0</v>
      </c>
      <c r="AU22" s="2">
        <f t="shared" ref="AU22:BZ22" si="9">AU458</f>
        <v>8744219.2799999993</v>
      </c>
      <c r="AV22" s="2">
        <f t="shared" si="9"/>
        <v>5779276.1699999999</v>
      </c>
      <c r="AW22" s="2">
        <f t="shared" si="9"/>
        <v>5779276.1699999999</v>
      </c>
      <c r="AX22" s="2">
        <f t="shared" si="9"/>
        <v>0</v>
      </c>
      <c r="AY22" s="2">
        <f t="shared" si="9"/>
        <v>5779276.1699999999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CA458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DG458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EM458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FS458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ROW(A40)</f>
        <v>40</v>
      </c>
      <c r="E24" s="1"/>
      <c r="F24" s="1" t="s">
        <v>17</v>
      </c>
      <c r="G24" s="1" t="s">
        <v>18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B40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Раздел 4.  А/б покрытие пешеходных тротуаров на новое основание (АТ-1) - 35 м2</v>
      </c>
      <c r="H26" s="2"/>
      <c r="I26" s="2"/>
      <c r="J26" s="2"/>
      <c r="K26" s="2"/>
      <c r="L26" s="2"/>
      <c r="M26" s="2"/>
      <c r="N26" s="2"/>
      <c r="O26" s="2">
        <f t="shared" ref="O26:AT26" si="15">O40</f>
        <v>55667.38</v>
      </c>
      <c r="P26" s="2">
        <f t="shared" si="15"/>
        <v>33935.910000000003</v>
      </c>
      <c r="Q26" s="2">
        <f t="shared" si="15"/>
        <v>19645.8</v>
      </c>
      <c r="R26" s="2">
        <f t="shared" si="15"/>
        <v>9808.81</v>
      </c>
      <c r="S26" s="2">
        <f t="shared" si="15"/>
        <v>2085.67</v>
      </c>
      <c r="T26" s="2">
        <f t="shared" si="15"/>
        <v>0</v>
      </c>
      <c r="U26" s="2">
        <f t="shared" si="15"/>
        <v>10.3493075</v>
      </c>
      <c r="V26" s="2">
        <f t="shared" si="15"/>
        <v>0</v>
      </c>
      <c r="W26" s="2">
        <f t="shared" si="15"/>
        <v>0</v>
      </c>
      <c r="X26" s="2">
        <f t="shared" si="15"/>
        <v>1459.98</v>
      </c>
      <c r="Y26" s="2">
        <f t="shared" si="15"/>
        <v>208.57</v>
      </c>
      <c r="Z26" s="2">
        <f t="shared" si="15"/>
        <v>0</v>
      </c>
      <c r="AA26" s="2">
        <f t="shared" si="15"/>
        <v>0</v>
      </c>
      <c r="AB26" s="2">
        <f t="shared" si="15"/>
        <v>55667.38</v>
      </c>
      <c r="AC26" s="2">
        <f t="shared" si="15"/>
        <v>33935.910000000003</v>
      </c>
      <c r="AD26" s="2">
        <f t="shared" si="15"/>
        <v>19645.8</v>
      </c>
      <c r="AE26" s="2">
        <f t="shared" si="15"/>
        <v>9808.81</v>
      </c>
      <c r="AF26" s="2">
        <f t="shared" si="15"/>
        <v>2085.67</v>
      </c>
      <c r="AG26" s="2">
        <f t="shared" si="15"/>
        <v>0</v>
      </c>
      <c r="AH26" s="2">
        <f t="shared" si="15"/>
        <v>10.3493075</v>
      </c>
      <c r="AI26" s="2">
        <f t="shared" si="15"/>
        <v>0</v>
      </c>
      <c r="AJ26" s="2">
        <f t="shared" si="15"/>
        <v>0</v>
      </c>
      <c r="AK26" s="2">
        <f t="shared" si="15"/>
        <v>1459.98</v>
      </c>
      <c r="AL26" s="2">
        <f t="shared" si="15"/>
        <v>208.57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59887.45</v>
      </c>
      <c r="AS26" s="2">
        <f t="shared" si="15"/>
        <v>2211.62</v>
      </c>
      <c r="AT26" s="2">
        <f t="shared" si="15"/>
        <v>0</v>
      </c>
      <c r="AU26" s="2">
        <f t="shared" ref="AU26:BZ26" si="16">AU40</f>
        <v>57675.83</v>
      </c>
      <c r="AV26" s="2">
        <f t="shared" si="16"/>
        <v>33935.910000000003</v>
      </c>
      <c r="AW26" s="2">
        <f t="shared" si="16"/>
        <v>33935.910000000003</v>
      </c>
      <c r="AX26" s="2">
        <f t="shared" si="16"/>
        <v>0</v>
      </c>
      <c r="AY26" s="2">
        <f t="shared" si="16"/>
        <v>33935.910000000003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CA40</f>
        <v>59887.45</v>
      </c>
      <c r="CB26" s="2">
        <f t="shared" si="17"/>
        <v>2211.62</v>
      </c>
      <c r="CC26" s="2">
        <f t="shared" si="17"/>
        <v>0</v>
      </c>
      <c r="CD26" s="2">
        <f t="shared" si="17"/>
        <v>57675.83</v>
      </c>
      <c r="CE26" s="2">
        <f t="shared" si="17"/>
        <v>33935.910000000003</v>
      </c>
      <c r="CF26" s="2">
        <f t="shared" si="17"/>
        <v>33935.910000000003</v>
      </c>
      <c r="CG26" s="2">
        <f t="shared" si="17"/>
        <v>0</v>
      </c>
      <c r="CH26" s="2">
        <f t="shared" si="17"/>
        <v>33935.910000000003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DG40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EM40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FS40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ROW(SmtRes!A3)</f>
        <v>3</v>
      </c>
      <c r="D28">
        <f>ROW(EtalonRes!A3)</f>
        <v>3</v>
      </c>
      <c r="E28" t="s">
        <v>19</v>
      </c>
      <c r="F28" t="s">
        <v>20</v>
      </c>
      <c r="G28" t="s">
        <v>21</v>
      </c>
      <c r="H28" t="s">
        <v>22</v>
      </c>
      <c r="I28">
        <f>ROUND((35*0.45*0.9)/100,9)</f>
        <v>0.14174999999999999</v>
      </c>
      <c r="J28">
        <v>0</v>
      </c>
      <c r="O28">
        <f t="shared" ref="O28:O38" si="21">ROUND(CP28,2)</f>
        <v>1285.1600000000001</v>
      </c>
      <c r="P28">
        <f t="shared" ref="P28:P38" si="22">ROUND(CQ28*I28,2)</f>
        <v>0</v>
      </c>
      <c r="Q28">
        <f t="shared" ref="Q28:Q38" si="23">ROUND(CR28*I28,2)</f>
        <v>1244.42</v>
      </c>
      <c r="R28">
        <f t="shared" ref="R28:R38" si="24">ROUND(CS28*I28,2)</f>
        <v>486.75</v>
      </c>
      <c r="S28">
        <f t="shared" ref="S28:S38" si="25">ROUND(CT28*I28,2)</f>
        <v>40.74</v>
      </c>
      <c r="T28">
        <f t="shared" ref="T28:T38" si="26">ROUND(CU28*I28,2)</f>
        <v>0</v>
      </c>
      <c r="U28">
        <f t="shared" ref="U28:U38" si="27">CV28*I28</f>
        <v>0.22538249999999999</v>
      </c>
      <c r="V28">
        <f t="shared" ref="V28:V38" si="28">CW28*I28</f>
        <v>0</v>
      </c>
      <c r="W28">
        <f t="shared" ref="W28:W38" si="29">ROUND(CX28*I28,2)</f>
        <v>0</v>
      </c>
      <c r="X28">
        <f t="shared" ref="X28:X38" si="30">ROUND(CY28,2)</f>
        <v>28.52</v>
      </c>
      <c r="Y28">
        <f t="shared" ref="Y28:Y38" si="31">ROUND(CZ28,2)</f>
        <v>4.07</v>
      </c>
      <c r="AA28">
        <v>42184655</v>
      </c>
      <c r="AB28">
        <f t="shared" ref="AB28:AB38" si="32">ROUND((AC28+AD28+AF28),6)</f>
        <v>9066.39</v>
      </c>
      <c r="AC28">
        <f>ROUND((ES28),6)</f>
        <v>0</v>
      </c>
      <c r="AD28">
        <f>ROUND((((ET28)-(EU28))+AE28),6)</f>
        <v>8779.01</v>
      </c>
      <c r="AE28">
        <f t="shared" ref="AE28:AF31" si="33">ROUND((EU28),6)</f>
        <v>3433.88</v>
      </c>
      <c r="AF28">
        <f t="shared" si="33"/>
        <v>287.38</v>
      </c>
      <c r="AG28">
        <f t="shared" ref="AG28:AG38" si="34">ROUND((AP28),6)</f>
        <v>0</v>
      </c>
      <c r="AH28">
        <f t="shared" ref="AH28:AI31" si="35">(EW28)</f>
        <v>1.59</v>
      </c>
      <c r="AI28">
        <f t="shared" si="35"/>
        <v>0</v>
      </c>
      <c r="AJ28">
        <f t="shared" ref="AJ28:AJ38" si="36">(AS28)</f>
        <v>0</v>
      </c>
      <c r="AK28">
        <v>9066.39</v>
      </c>
      <c r="AL28">
        <v>0</v>
      </c>
      <c r="AM28">
        <v>8779.01</v>
      </c>
      <c r="AN28">
        <v>3433.88</v>
      </c>
      <c r="AO28">
        <v>287.38</v>
      </c>
      <c r="AP28">
        <v>0</v>
      </c>
      <c r="AQ28">
        <v>1.59</v>
      </c>
      <c r="AR28">
        <v>0</v>
      </c>
      <c r="AS28">
        <v>0</v>
      </c>
      <c r="AT28">
        <v>70</v>
      </c>
      <c r="AU28">
        <v>10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23</v>
      </c>
      <c r="BM28">
        <v>0</v>
      </c>
      <c r="BN28">
        <v>0</v>
      </c>
      <c r="BO28" t="s">
        <v>3</v>
      </c>
      <c r="BP28">
        <v>0</v>
      </c>
      <c r="BQ28">
        <v>1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70</v>
      </c>
      <c r="CA28">
        <v>10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8" si="37">(P28+Q28+S28)</f>
        <v>1285.1600000000001</v>
      </c>
      <c r="CQ28">
        <f t="shared" ref="CQ28:CQ38" si="38">(AC28*BC28*AW28)</f>
        <v>0</v>
      </c>
      <c r="CR28">
        <f>((((ET28)*BB28-(EU28)*BS28)+AE28*BS28)*AV28)</f>
        <v>8779.01</v>
      </c>
      <c r="CS28">
        <f t="shared" ref="CS28:CS38" si="39">(AE28*BS28*AV28)</f>
        <v>3433.88</v>
      </c>
      <c r="CT28">
        <f t="shared" ref="CT28:CT38" si="40">(AF28*BA28*AV28)</f>
        <v>287.38</v>
      </c>
      <c r="CU28">
        <f t="shared" ref="CU28:CU38" si="41">AG28</f>
        <v>0</v>
      </c>
      <c r="CV28">
        <f t="shared" ref="CV28:CV38" si="42">(AH28*AV28)</f>
        <v>1.59</v>
      </c>
      <c r="CW28">
        <f t="shared" ref="CW28:CW38" si="43">AI28</f>
        <v>0</v>
      </c>
      <c r="CX28">
        <f t="shared" ref="CX28:CX38" si="44">AJ28</f>
        <v>0</v>
      </c>
      <c r="CY28">
        <f t="shared" ref="CY28:CY38" si="45">((S28*BZ28)/100)</f>
        <v>28.518000000000001</v>
      </c>
      <c r="CZ28">
        <f t="shared" ref="CZ28:CZ38" si="46">((S28*CA28)/100)</f>
        <v>4.0740000000000007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1007</v>
      </c>
      <c r="DV28" t="s">
        <v>22</v>
      </c>
      <c r="DW28" t="s">
        <v>22</v>
      </c>
      <c r="DX28">
        <v>100</v>
      </c>
      <c r="EE28">
        <v>40658659</v>
      </c>
      <c r="EF28">
        <v>1</v>
      </c>
      <c r="EG28" t="s">
        <v>24</v>
      </c>
      <c r="EH28">
        <v>0</v>
      </c>
      <c r="EI28" t="s">
        <v>3</v>
      </c>
      <c r="EJ28">
        <v>4</v>
      </c>
      <c r="EK28">
        <v>0</v>
      </c>
      <c r="EL28" t="s">
        <v>25</v>
      </c>
      <c r="EM28" t="s">
        <v>26</v>
      </c>
      <c r="EO28" t="s">
        <v>3</v>
      </c>
      <c r="EQ28">
        <v>0</v>
      </c>
      <c r="ER28">
        <v>9066.39</v>
      </c>
      <c r="ES28">
        <v>0</v>
      </c>
      <c r="ET28">
        <v>8779.01</v>
      </c>
      <c r="EU28">
        <v>3433.88</v>
      </c>
      <c r="EV28">
        <v>287.38</v>
      </c>
      <c r="EW28">
        <v>1.59</v>
      </c>
      <c r="EX28">
        <v>0</v>
      </c>
      <c r="EY28">
        <v>0</v>
      </c>
      <c r="FQ28">
        <v>0</v>
      </c>
      <c r="FR28">
        <f t="shared" ref="FR28:FR38" si="47">ROUND(IF(AND(BH28=3,BI28=3),P28,0),2)</f>
        <v>0</v>
      </c>
      <c r="FS28">
        <v>0</v>
      </c>
      <c r="FX28">
        <v>70</v>
      </c>
      <c r="FY28">
        <v>10</v>
      </c>
      <c r="GA28" t="s">
        <v>3</v>
      </c>
      <c r="GD28">
        <v>0</v>
      </c>
      <c r="GF28">
        <v>786330748</v>
      </c>
      <c r="GG28">
        <v>2</v>
      </c>
      <c r="GH28">
        <v>1</v>
      </c>
      <c r="GI28">
        <v>-2</v>
      </c>
      <c r="GJ28">
        <v>0</v>
      </c>
      <c r="GK28">
        <f>ROUND(R28*(R12)/100,2)</f>
        <v>525.69000000000005</v>
      </c>
      <c r="GL28">
        <f t="shared" ref="GL28:GL38" si="48">ROUND(IF(AND(BH28=3,BI28=3,FS28&lt;&gt;0),P28,0),2)</f>
        <v>0</v>
      </c>
      <c r="GM28">
        <f>ROUND(O28+X28+Y28+GK28,2)+GX28</f>
        <v>1843.44</v>
      </c>
      <c r="GN28">
        <f>IF(OR(BI28=0,BI28=1),ROUND(O28+X28+Y28+GK28,2),0)</f>
        <v>0</v>
      </c>
      <c r="GO28">
        <f>IF(BI28=2,ROUND(O28+X28+Y28+GK28,2),0)</f>
        <v>0</v>
      </c>
      <c r="GP28">
        <f>IF(BI28=4,ROUND(O28+X28+Y28+GK28,2)+GX28,0)</f>
        <v>1843.44</v>
      </c>
      <c r="GR28">
        <v>0</v>
      </c>
      <c r="GS28">
        <v>3</v>
      </c>
      <c r="GT28">
        <v>0</v>
      </c>
      <c r="GU28" t="s">
        <v>3</v>
      </c>
      <c r="GV28">
        <f t="shared" ref="GV28:GV38" si="49">ROUND((GT28),6)</f>
        <v>0</v>
      </c>
      <c r="GW28">
        <v>1</v>
      </c>
      <c r="GX28">
        <f t="shared" ref="GX28:GX38" si="50">ROUND(HC28*I28,2)</f>
        <v>0</v>
      </c>
      <c r="HA28">
        <v>0</v>
      </c>
      <c r="HB28">
        <v>0</v>
      </c>
      <c r="HC28">
        <f t="shared" ref="HC28:HC38" si="51">GV28*GW28</f>
        <v>0</v>
      </c>
      <c r="IK28">
        <v>0</v>
      </c>
    </row>
    <row r="29" spans="1:245" x14ac:dyDescent="0.2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27</v>
      </c>
      <c r="F29" t="s">
        <v>28</v>
      </c>
      <c r="G29" t="s">
        <v>29</v>
      </c>
      <c r="H29" t="s">
        <v>22</v>
      </c>
      <c r="I29">
        <f>ROUND(35*0.45*0.1/100,9)</f>
        <v>1.575E-2</v>
      </c>
      <c r="J29">
        <v>0</v>
      </c>
      <c r="O29">
        <f t="shared" si="21"/>
        <v>660.73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660.73</v>
      </c>
      <c r="T29">
        <f t="shared" si="26"/>
        <v>0</v>
      </c>
      <c r="U29">
        <f t="shared" si="27"/>
        <v>3.4901999999999997</v>
      </c>
      <c r="V29">
        <f t="shared" si="28"/>
        <v>0</v>
      </c>
      <c r="W29">
        <f t="shared" si="29"/>
        <v>0</v>
      </c>
      <c r="X29">
        <f t="shared" si="30"/>
        <v>462.51</v>
      </c>
      <c r="Y29">
        <f t="shared" si="31"/>
        <v>66.069999999999993</v>
      </c>
      <c r="AA29">
        <v>42184655</v>
      </c>
      <c r="AB29">
        <f t="shared" si="32"/>
        <v>41951.1</v>
      </c>
      <c r="AC29">
        <f>ROUND((ES29),6)</f>
        <v>0</v>
      </c>
      <c r="AD29">
        <f>ROUND((((ET29)-(EU29))+AE29),6)</f>
        <v>0</v>
      </c>
      <c r="AE29">
        <f t="shared" si="33"/>
        <v>0</v>
      </c>
      <c r="AF29">
        <f t="shared" si="33"/>
        <v>41951.1</v>
      </c>
      <c r="AG29">
        <f t="shared" si="34"/>
        <v>0</v>
      </c>
      <c r="AH29">
        <f t="shared" si="35"/>
        <v>221.6</v>
      </c>
      <c r="AI29">
        <f t="shared" si="35"/>
        <v>0</v>
      </c>
      <c r="AJ29">
        <f t="shared" si="36"/>
        <v>0</v>
      </c>
      <c r="AK29">
        <v>41951.1</v>
      </c>
      <c r="AL29">
        <v>0</v>
      </c>
      <c r="AM29">
        <v>0</v>
      </c>
      <c r="AN29">
        <v>0</v>
      </c>
      <c r="AO29">
        <v>41951.1</v>
      </c>
      <c r="AP29">
        <v>0</v>
      </c>
      <c r="AQ29">
        <v>221.6</v>
      </c>
      <c r="AR29">
        <v>0</v>
      </c>
      <c r="AS29">
        <v>0</v>
      </c>
      <c r="AT29">
        <v>70</v>
      </c>
      <c r="AU29">
        <v>10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30</v>
      </c>
      <c r="BM29">
        <v>0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70</v>
      </c>
      <c r="CA29">
        <v>10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7"/>
        <v>660.73</v>
      </c>
      <c r="CQ29">
        <f t="shared" si="38"/>
        <v>0</v>
      </c>
      <c r="CR29">
        <f>((((ET29)*BB29-(EU29)*BS29)+AE29*BS29)*AV29)</f>
        <v>0</v>
      </c>
      <c r="CS29">
        <f t="shared" si="39"/>
        <v>0</v>
      </c>
      <c r="CT29">
        <f t="shared" si="40"/>
        <v>41951.1</v>
      </c>
      <c r="CU29">
        <f t="shared" si="41"/>
        <v>0</v>
      </c>
      <c r="CV29">
        <f t="shared" si="42"/>
        <v>221.6</v>
      </c>
      <c r="CW29">
        <f t="shared" si="43"/>
        <v>0</v>
      </c>
      <c r="CX29">
        <f t="shared" si="44"/>
        <v>0</v>
      </c>
      <c r="CY29">
        <f t="shared" si="45"/>
        <v>462.51099999999997</v>
      </c>
      <c r="CZ29">
        <f t="shared" si="46"/>
        <v>66.073000000000008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22</v>
      </c>
      <c r="DW29" t="s">
        <v>22</v>
      </c>
      <c r="DX29">
        <v>100</v>
      </c>
      <c r="EE29">
        <v>40658659</v>
      </c>
      <c r="EF29">
        <v>1</v>
      </c>
      <c r="EG29" t="s">
        <v>24</v>
      </c>
      <c r="EH29">
        <v>0</v>
      </c>
      <c r="EI29" t="s">
        <v>3</v>
      </c>
      <c r="EJ29">
        <v>4</v>
      </c>
      <c r="EK29">
        <v>0</v>
      </c>
      <c r="EL29" t="s">
        <v>25</v>
      </c>
      <c r="EM29" t="s">
        <v>26</v>
      </c>
      <c r="EO29" t="s">
        <v>3</v>
      </c>
      <c r="EQ29">
        <v>0</v>
      </c>
      <c r="ER29">
        <v>41951.1</v>
      </c>
      <c r="ES29">
        <v>0</v>
      </c>
      <c r="ET29">
        <v>0</v>
      </c>
      <c r="EU29">
        <v>0</v>
      </c>
      <c r="EV29">
        <v>41951.1</v>
      </c>
      <c r="EW29">
        <v>221.6</v>
      </c>
      <c r="EX29">
        <v>0</v>
      </c>
      <c r="EY29">
        <v>0</v>
      </c>
      <c r="FQ29">
        <v>0</v>
      </c>
      <c r="FR29">
        <f t="shared" si="47"/>
        <v>0</v>
      </c>
      <c r="FS29">
        <v>0</v>
      </c>
      <c r="FX29">
        <v>70</v>
      </c>
      <c r="FY29">
        <v>10</v>
      </c>
      <c r="GA29" t="s">
        <v>3</v>
      </c>
      <c r="GD29">
        <v>0</v>
      </c>
      <c r="GF29">
        <v>-886337855</v>
      </c>
      <c r="GG29">
        <v>2</v>
      </c>
      <c r="GH29">
        <v>1</v>
      </c>
      <c r="GI29">
        <v>-2</v>
      </c>
      <c r="GJ29">
        <v>0</v>
      </c>
      <c r="GK29">
        <f>ROUND(R29*(R12)/100,2)</f>
        <v>0</v>
      </c>
      <c r="GL29">
        <f t="shared" si="48"/>
        <v>0</v>
      </c>
      <c r="GM29">
        <f>ROUND(O29+X29+Y29+GK29,2)+GX29</f>
        <v>1189.31</v>
      </c>
      <c r="GN29">
        <f>IF(OR(BI29=0,BI29=1),ROUND(O29+X29+Y29+GK29,2),0)</f>
        <v>0</v>
      </c>
      <c r="GO29">
        <f>IF(BI29=2,ROUND(O29+X29+Y29+GK29,2),0)</f>
        <v>0</v>
      </c>
      <c r="GP29">
        <f>IF(BI29=4,ROUND(O29+X29+Y29+GK29,2)+GX29,0)</f>
        <v>1189.31</v>
      </c>
      <c r="GR29">
        <v>0</v>
      </c>
      <c r="GS29">
        <v>3</v>
      </c>
      <c r="GT29">
        <v>0</v>
      </c>
      <c r="GU29" t="s">
        <v>3</v>
      </c>
      <c r="GV29">
        <f t="shared" si="49"/>
        <v>0</v>
      </c>
      <c r="GW29">
        <v>1</v>
      </c>
      <c r="GX29">
        <f t="shared" si="50"/>
        <v>0</v>
      </c>
      <c r="HA29">
        <v>0</v>
      </c>
      <c r="HB29">
        <v>0</v>
      </c>
      <c r="HC29">
        <f t="shared" si="51"/>
        <v>0</v>
      </c>
      <c r="IK29">
        <v>0</v>
      </c>
    </row>
    <row r="30" spans="1:245" x14ac:dyDescent="0.2">
      <c r="A30">
        <v>17</v>
      </c>
      <c r="B30">
        <v>1</v>
      </c>
      <c r="C30">
        <f>ROW(SmtRes!A5)</f>
        <v>5</v>
      </c>
      <c r="D30">
        <f>ROW(EtalonRes!A5)</f>
        <v>5</v>
      </c>
      <c r="E30" t="s">
        <v>31</v>
      </c>
      <c r="F30" t="s">
        <v>32</v>
      </c>
      <c r="G30" t="s">
        <v>33</v>
      </c>
      <c r="H30" t="s">
        <v>22</v>
      </c>
      <c r="I30">
        <f>ROUND(35*0.45*0.1*0.1/100,9)</f>
        <v>1.575E-3</v>
      </c>
      <c r="J30">
        <v>0</v>
      </c>
      <c r="O30">
        <f t="shared" si="21"/>
        <v>17.53</v>
      </c>
      <c r="P30">
        <f t="shared" si="22"/>
        <v>0</v>
      </c>
      <c r="Q30">
        <f t="shared" si="23"/>
        <v>0</v>
      </c>
      <c r="R30">
        <f t="shared" si="24"/>
        <v>0</v>
      </c>
      <c r="S30">
        <f t="shared" si="25"/>
        <v>17.53</v>
      </c>
      <c r="T30">
        <f t="shared" si="26"/>
        <v>0</v>
      </c>
      <c r="U30">
        <f t="shared" si="27"/>
        <v>0.13072500000000001</v>
      </c>
      <c r="V30">
        <f t="shared" si="28"/>
        <v>0</v>
      </c>
      <c r="W30">
        <f t="shared" si="29"/>
        <v>0</v>
      </c>
      <c r="X30">
        <f t="shared" si="30"/>
        <v>12.27</v>
      </c>
      <c r="Y30">
        <f t="shared" si="31"/>
        <v>1.75</v>
      </c>
      <c r="AA30">
        <v>42184655</v>
      </c>
      <c r="AB30">
        <f t="shared" si="32"/>
        <v>11130.3</v>
      </c>
      <c r="AC30">
        <f>ROUND((ES30),6)</f>
        <v>0</v>
      </c>
      <c r="AD30">
        <f>ROUND((((ET30)-(EU30))+AE30),6)</f>
        <v>0</v>
      </c>
      <c r="AE30">
        <f t="shared" si="33"/>
        <v>0</v>
      </c>
      <c r="AF30">
        <f t="shared" si="33"/>
        <v>11130.3</v>
      </c>
      <c r="AG30">
        <f t="shared" si="34"/>
        <v>0</v>
      </c>
      <c r="AH30">
        <f t="shared" si="35"/>
        <v>83</v>
      </c>
      <c r="AI30">
        <f t="shared" si="35"/>
        <v>0</v>
      </c>
      <c r="AJ30">
        <f t="shared" si="36"/>
        <v>0</v>
      </c>
      <c r="AK30">
        <v>11130.3</v>
      </c>
      <c r="AL30">
        <v>0</v>
      </c>
      <c r="AM30">
        <v>0</v>
      </c>
      <c r="AN30">
        <v>0</v>
      </c>
      <c r="AO30">
        <v>11130.3</v>
      </c>
      <c r="AP30">
        <v>0</v>
      </c>
      <c r="AQ30">
        <v>83</v>
      </c>
      <c r="AR30">
        <v>0</v>
      </c>
      <c r="AS30">
        <v>0</v>
      </c>
      <c r="AT30">
        <v>70</v>
      </c>
      <c r="AU30">
        <v>10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34</v>
      </c>
      <c r="BM30">
        <v>0</v>
      </c>
      <c r="BN30">
        <v>0</v>
      </c>
      <c r="BO30" t="s">
        <v>3</v>
      </c>
      <c r="BP30">
        <v>0</v>
      </c>
      <c r="BQ30">
        <v>1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70</v>
      </c>
      <c r="CA30">
        <v>10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7"/>
        <v>17.53</v>
      </c>
      <c r="CQ30">
        <f t="shared" si="38"/>
        <v>0</v>
      </c>
      <c r="CR30">
        <f>((((ET30)*BB30-(EU30)*BS30)+AE30*BS30)*AV30)</f>
        <v>0</v>
      </c>
      <c r="CS30">
        <f t="shared" si="39"/>
        <v>0</v>
      </c>
      <c r="CT30">
        <f t="shared" si="40"/>
        <v>11130.3</v>
      </c>
      <c r="CU30">
        <f t="shared" si="41"/>
        <v>0</v>
      </c>
      <c r="CV30">
        <f t="shared" si="42"/>
        <v>83</v>
      </c>
      <c r="CW30">
        <f t="shared" si="43"/>
        <v>0</v>
      </c>
      <c r="CX30">
        <f t="shared" si="44"/>
        <v>0</v>
      </c>
      <c r="CY30">
        <f t="shared" si="45"/>
        <v>12.271000000000001</v>
      </c>
      <c r="CZ30">
        <f t="shared" si="46"/>
        <v>1.7530000000000001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22</v>
      </c>
      <c r="DW30" t="s">
        <v>22</v>
      </c>
      <c r="DX30">
        <v>100</v>
      </c>
      <c r="EE30">
        <v>40658659</v>
      </c>
      <c r="EF30">
        <v>1</v>
      </c>
      <c r="EG30" t="s">
        <v>24</v>
      </c>
      <c r="EH30">
        <v>0</v>
      </c>
      <c r="EI30" t="s">
        <v>3</v>
      </c>
      <c r="EJ30">
        <v>4</v>
      </c>
      <c r="EK30">
        <v>0</v>
      </c>
      <c r="EL30" t="s">
        <v>25</v>
      </c>
      <c r="EM30" t="s">
        <v>26</v>
      </c>
      <c r="EO30" t="s">
        <v>3</v>
      </c>
      <c r="EQ30">
        <v>0</v>
      </c>
      <c r="ER30">
        <v>11130.3</v>
      </c>
      <c r="ES30">
        <v>0</v>
      </c>
      <c r="ET30">
        <v>0</v>
      </c>
      <c r="EU30">
        <v>0</v>
      </c>
      <c r="EV30">
        <v>11130.3</v>
      </c>
      <c r="EW30">
        <v>83</v>
      </c>
      <c r="EX30">
        <v>0</v>
      </c>
      <c r="EY30">
        <v>0</v>
      </c>
      <c r="FQ30">
        <v>0</v>
      </c>
      <c r="FR30">
        <f t="shared" si="47"/>
        <v>0</v>
      </c>
      <c r="FS30">
        <v>0</v>
      </c>
      <c r="FX30">
        <v>70</v>
      </c>
      <c r="FY30">
        <v>10</v>
      </c>
      <c r="GA30" t="s">
        <v>3</v>
      </c>
      <c r="GD30">
        <v>0</v>
      </c>
      <c r="GF30">
        <v>-1649887295</v>
      </c>
      <c r="GG30">
        <v>2</v>
      </c>
      <c r="GH30">
        <v>1</v>
      </c>
      <c r="GI30">
        <v>-2</v>
      </c>
      <c r="GJ30">
        <v>0</v>
      </c>
      <c r="GK30">
        <f>ROUND(R30*(R12)/100,2)</f>
        <v>0</v>
      </c>
      <c r="GL30">
        <f t="shared" si="48"/>
        <v>0</v>
      </c>
      <c r="GM30">
        <f>ROUND(O30+X30+Y30+GK30,2)+GX30</f>
        <v>31.55</v>
      </c>
      <c r="GN30">
        <f>IF(OR(BI30=0,BI30=1),ROUND(O30+X30+Y30+GK30,2),0)</f>
        <v>0</v>
      </c>
      <c r="GO30">
        <f>IF(BI30=2,ROUND(O30+X30+Y30+GK30,2),0)</f>
        <v>0</v>
      </c>
      <c r="GP30">
        <f>IF(BI30=4,ROUND(O30+X30+Y30+GK30,2)+GX30,0)</f>
        <v>31.55</v>
      </c>
      <c r="GR30">
        <v>0</v>
      </c>
      <c r="GS30">
        <v>3</v>
      </c>
      <c r="GT30">
        <v>0</v>
      </c>
      <c r="GU30" t="s">
        <v>3</v>
      </c>
      <c r="GV30">
        <f t="shared" si="49"/>
        <v>0</v>
      </c>
      <c r="GW30">
        <v>1</v>
      </c>
      <c r="GX30">
        <f t="shared" si="50"/>
        <v>0</v>
      </c>
      <c r="HA30">
        <v>0</v>
      </c>
      <c r="HB30">
        <v>0</v>
      </c>
      <c r="HC30">
        <f t="shared" si="51"/>
        <v>0</v>
      </c>
      <c r="IK30">
        <v>0</v>
      </c>
    </row>
    <row r="31" spans="1:245" x14ac:dyDescent="0.2">
      <c r="A31">
        <v>17</v>
      </c>
      <c r="B31">
        <v>1</v>
      </c>
      <c r="C31">
        <f>ROW(SmtRes!A6)</f>
        <v>6</v>
      </c>
      <c r="D31">
        <f>ROW(EtalonRes!A6)</f>
        <v>6</v>
      </c>
      <c r="E31" t="s">
        <v>35</v>
      </c>
      <c r="F31" t="s">
        <v>36</v>
      </c>
      <c r="G31" t="s">
        <v>37</v>
      </c>
      <c r="H31" t="s">
        <v>38</v>
      </c>
      <c r="I31">
        <f>ROUND(35*0.45,9)</f>
        <v>15.75</v>
      </c>
      <c r="J31">
        <v>0</v>
      </c>
      <c r="O31">
        <f t="shared" si="21"/>
        <v>744.5</v>
      </c>
      <c r="P31">
        <f t="shared" si="22"/>
        <v>0</v>
      </c>
      <c r="Q31">
        <f t="shared" si="23"/>
        <v>744.5</v>
      </c>
      <c r="R31">
        <f t="shared" si="24"/>
        <v>404.15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42184655</v>
      </c>
      <c r="AB31">
        <f t="shared" si="32"/>
        <v>47.27</v>
      </c>
      <c r="AC31">
        <f>ROUND((ES31),6)</f>
        <v>0</v>
      </c>
      <c r="AD31">
        <f>ROUND((((ET31)-(EU31))+AE31),6)</f>
        <v>47.27</v>
      </c>
      <c r="AE31">
        <f t="shared" si="33"/>
        <v>25.66</v>
      </c>
      <c r="AF31">
        <f t="shared" si="33"/>
        <v>0</v>
      </c>
      <c r="AG31">
        <f t="shared" si="34"/>
        <v>0</v>
      </c>
      <c r="AH31">
        <f t="shared" si="35"/>
        <v>0</v>
      </c>
      <c r="AI31">
        <f t="shared" si="35"/>
        <v>0</v>
      </c>
      <c r="AJ31">
        <f t="shared" si="36"/>
        <v>0</v>
      </c>
      <c r="AK31">
        <v>47.27</v>
      </c>
      <c r="AL31">
        <v>0</v>
      </c>
      <c r="AM31">
        <v>47.27</v>
      </c>
      <c r="AN31">
        <v>25.66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7"/>
        <v>744.5</v>
      </c>
      <c r="CQ31">
        <f t="shared" si="38"/>
        <v>0</v>
      </c>
      <c r="CR31">
        <f>((((ET31)*BB31-(EU31)*BS31)+AE31*BS31)*AV31)</f>
        <v>47.27</v>
      </c>
      <c r="CS31">
        <f t="shared" si="39"/>
        <v>25.66</v>
      </c>
      <c r="CT31">
        <f t="shared" si="40"/>
        <v>0</v>
      </c>
      <c r="CU31">
        <f t="shared" si="41"/>
        <v>0</v>
      </c>
      <c r="CV31">
        <f t="shared" si="42"/>
        <v>0</v>
      </c>
      <c r="CW31">
        <f t="shared" si="43"/>
        <v>0</v>
      </c>
      <c r="CX31">
        <f t="shared" si="44"/>
        <v>0</v>
      </c>
      <c r="CY31">
        <f t="shared" si="45"/>
        <v>0</v>
      </c>
      <c r="CZ31">
        <f t="shared" si="46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38</v>
      </c>
      <c r="DW31" t="s">
        <v>38</v>
      </c>
      <c r="DX31">
        <v>1</v>
      </c>
      <c r="EE31">
        <v>40658662</v>
      </c>
      <c r="EF31">
        <v>1</v>
      </c>
      <c r="EG31" t="s">
        <v>24</v>
      </c>
      <c r="EH31">
        <v>0</v>
      </c>
      <c r="EI31" t="s">
        <v>3</v>
      </c>
      <c r="EJ31">
        <v>4</v>
      </c>
      <c r="EK31">
        <v>1</v>
      </c>
      <c r="EL31" t="s">
        <v>40</v>
      </c>
      <c r="EM31" t="s">
        <v>26</v>
      </c>
      <c r="EO31" t="s">
        <v>3</v>
      </c>
      <c r="EQ31">
        <v>0</v>
      </c>
      <c r="ER31">
        <v>47.27</v>
      </c>
      <c r="ES31">
        <v>0</v>
      </c>
      <c r="ET31">
        <v>47.27</v>
      </c>
      <c r="EU31">
        <v>25.66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47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-1249335408</v>
      </c>
      <c r="GG31">
        <v>2</v>
      </c>
      <c r="GH31">
        <v>1</v>
      </c>
      <c r="GI31">
        <v>-2</v>
      </c>
      <c r="GJ31">
        <v>0</v>
      </c>
      <c r="GK31">
        <v>0</v>
      </c>
      <c r="GL31">
        <f t="shared" si="48"/>
        <v>0</v>
      </c>
      <c r="GM31">
        <f>ROUND(O31+X31+Y31,2)+GX31</f>
        <v>744.5</v>
      </c>
      <c r="GN31">
        <f>IF(OR(BI31=0,BI31=1),ROUND(O31+X31+Y31,2),0)</f>
        <v>0</v>
      </c>
      <c r="GO31">
        <f>IF(BI31=2,ROUND(O31+X31+Y31,2),0)</f>
        <v>0</v>
      </c>
      <c r="GP31">
        <f>IF(BI31=4,ROUND(O31+X31+Y31,2)+GX31,0)</f>
        <v>744.5</v>
      </c>
      <c r="GR31">
        <v>0</v>
      </c>
      <c r="GS31">
        <v>3</v>
      </c>
      <c r="GT31">
        <v>0</v>
      </c>
      <c r="GU31" t="s">
        <v>3</v>
      </c>
      <c r="GV31">
        <f t="shared" si="49"/>
        <v>0</v>
      </c>
      <c r="GW31">
        <v>1</v>
      </c>
      <c r="GX31">
        <f t="shared" si="50"/>
        <v>0</v>
      </c>
      <c r="HA31">
        <v>0</v>
      </c>
      <c r="HB31">
        <v>0</v>
      </c>
      <c r="HC31">
        <f t="shared" si="51"/>
        <v>0</v>
      </c>
      <c r="IK31">
        <v>0</v>
      </c>
    </row>
    <row r="32" spans="1:245" x14ac:dyDescent="0.2">
      <c r="A32">
        <v>17</v>
      </c>
      <c r="B32">
        <v>1</v>
      </c>
      <c r="C32">
        <f>ROW(SmtRes!A7)</f>
        <v>7</v>
      </c>
      <c r="D32">
        <f>ROW(EtalonRes!A7)</f>
        <v>7</v>
      </c>
      <c r="E32" t="s">
        <v>41</v>
      </c>
      <c r="F32" t="s">
        <v>42</v>
      </c>
      <c r="G32" t="s">
        <v>43</v>
      </c>
      <c r="H32" t="s">
        <v>38</v>
      </c>
      <c r="I32">
        <f>ROUND(I28*100+I29*100,9)</f>
        <v>15.75</v>
      </c>
      <c r="J32">
        <v>0</v>
      </c>
      <c r="O32">
        <f t="shared" si="21"/>
        <v>12970.13</v>
      </c>
      <c r="P32">
        <f t="shared" si="22"/>
        <v>0</v>
      </c>
      <c r="Q32">
        <f t="shared" si="23"/>
        <v>12970.13</v>
      </c>
      <c r="R32">
        <f t="shared" si="24"/>
        <v>7042.14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1"/>
        <v>0</v>
      </c>
      <c r="AA32">
        <v>42184655</v>
      </c>
      <c r="AB32">
        <f t="shared" si="32"/>
        <v>823.5</v>
      </c>
      <c r="AC32">
        <f>ROUND(((ES32*54)),6)</f>
        <v>0</v>
      </c>
      <c r="AD32">
        <f>ROUND(((((ET32*54))-((EU32*54)))+AE32),6)</f>
        <v>823.5</v>
      </c>
      <c r="AE32">
        <f>ROUND(((EU32*54)),6)</f>
        <v>447.12</v>
      </c>
      <c r="AF32">
        <f>ROUND(((EV32*54)),6)</f>
        <v>0</v>
      </c>
      <c r="AG32">
        <f t="shared" si="34"/>
        <v>0</v>
      </c>
      <c r="AH32">
        <f>((EW32*54))</f>
        <v>0</v>
      </c>
      <c r="AI32">
        <f>((EX32*54))</f>
        <v>0</v>
      </c>
      <c r="AJ32">
        <f t="shared" si="36"/>
        <v>0</v>
      </c>
      <c r="AK32">
        <v>15.25</v>
      </c>
      <c r="AL32">
        <v>0</v>
      </c>
      <c r="AM32">
        <v>15.25</v>
      </c>
      <c r="AN32">
        <v>8.2799999999999994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4</v>
      </c>
      <c r="BJ32" t="s">
        <v>44</v>
      </c>
      <c r="BM32">
        <v>1</v>
      </c>
      <c r="BN32">
        <v>0</v>
      </c>
      <c r="BO32" t="s">
        <v>3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7"/>
        <v>12970.13</v>
      </c>
      <c r="CQ32">
        <f t="shared" si="38"/>
        <v>0</v>
      </c>
      <c r="CR32">
        <f>(((((ET32*54))*BB32-((EU32*54))*BS32)+AE32*BS32)*AV32)</f>
        <v>823.5</v>
      </c>
      <c r="CS32">
        <f t="shared" si="39"/>
        <v>447.12</v>
      </c>
      <c r="CT32">
        <f t="shared" si="40"/>
        <v>0</v>
      </c>
      <c r="CU32">
        <f t="shared" si="41"/>
        <v>0</v>
      </c>
      <c r="CV32">
        <f t="shared" si="42"/>
        <v>0</v>
      </c>
      <c r="CW32">
        <f t="shared" si="43"/>
        <v>0</v>
      </c>
      <c r="CX32">
        <f t="shared" si="44"/>
        <v>0</v>
      </c>
      <c r="CY32">
        <f t="shared" si="45"/>
        <v>0</v>
      </c>
      <c r="CZ32">
        <f t="shared" si="46"/>
        <v>0</v>
      </c>
      <c r="DC32" t="s">
        <v>3</v>
      </c>
      <c r="DD32" t="s">
        <v>45</v>
      </c>
      <c r="DE32" t="s">
        <v>45</v>
      </c>
      <c r="DF32" t="s">
        <v>45</v>
      </c>
      <c r="DG32" t="s">
        <v>45</v>
      </c>
      <c r="DH32" t="s">
        <v>3</v>
      </c>
      <c r="DI32" t="s">
        <v>45</v>
      </c>
      <c r="DJ32" t="s">
        <v>45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38</v>
      </c>
      <c r="DW32" t="s">
        <v>38</v>
      </c>
      <c r="DX32">
        <v>1</v>
      </c>
      <c r="EE32">
        <v>40658662</v>
      </c>
      <c r="EF32">
        <v>1</v>
      </c>
      <c r="EG32" t="s">
        <v>24</v>
      </c>
      <c r="EH32">
        <v>0</v>
      </c>
      <c r="EI32" t="s">
        <v>3</v>
      </c>
      <c r="EJ32">
        <v>4</v>
      </c>
      <c r="EK32">
        <v>1</v>
      </c>
      <c r="EL32" t="s">
        <v>40</v>
      </c>
      <c r="EM32" t="s">
        <v>26</v>
      </c>
      <c r="EO32" t="s">
        <v>3</v>
      </c>
      <c r="EQ32">
        <v>0</v>
      </c>
      <c r="ER32">
        <v>15.25</v>
      </c>
      <c r="ES32">
        <v>0</v>
      </c>
      <c r="ET32">
        <v>15.25</v>
      </c>
      <c r="EU32">
        <v>8.2799999999999994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47"/>
        <v>0</v>
      </c>
      <c r="FS32">
        <v>0</v>
      </c>
      <c r="FX32">
        <v>0</v>
      </c>
      <c r="FY32">
        <v>0</v>
      </c>
      <c r="GA32" t="s">
        <v>3</v>
      </c>
      <c r="GD32">
        <v>1</v>
      </c>
      <c r="GF32">
        <v>1511999612</v>
      </c>
      <c r="GG32">
        <v>2</v>
      </c>
      <c r="GH32">
        <v>1</v>
      </c>
      <c r="GI32">
        <v>-2</v>
      </c>
      <c r="GJ32">
        <v>0</v>
      </c>
      <c r="GK32">
        <v>0</v>
      </c>
      <c r="GL32">
        <f t="shared" si="48"/>
        <v>0</v>
      </c>
      <c r="GM32">
        <f>ROUND(O32+X32+Y32,2)+GX32</f>
        <v>12970.13</v>
      </c>
      <c r="GN32">
        <f>IF(OR(BI32=0,BI32=1),ROUND(O32+X32+Y32,2),0)</f>
        <v>0</v>
      </c>
      <c r="GO32">
        <f>IF(BI32=2,ROUND(O32+X32+Y32,2),0)</f>
        <v>0</v>
      </c>
      <c r="GP32">
        <f>IF(BI32=4,ROUND(O32+X32+Y32,2)+GX32,0)</f>
        <v>12970.13</v>
      </c>
      <c r="GR32">
        <v>0</v>
      </c>
      <c r="GS32">
        <v>3</v>
      </c>
      <c r="GT32">
        <v>0</v>
      </c>
      <c r="GU32" t="s">
        <v>3</v>
      </c>
      <c r="GV32">
        <f t="shared" si="49"/>
        <v>0</v>
      </c>
      <c r="GW32">
        <v>1</v>
      </c>
      <c r="GX32">
        <f t="shared" si="50"/>
        <v>0</v>
      </c>
      <c r="HA32">
        <v>0</v>
      </c>
      <c r="HB32">
        <v>0</v>
      </c>
      <c r="HC32">
        <f t="shared" si="51"/>
        <v>0</v>
      </c>
      <c r="IK32">
        <v>0</v>
      </c>
    </row>
    <row r="33" spans="1:245" x14ac:dyDescent="0.2">
      <c r="A33">
        <v>17</v>
      </c>
      <c r="B33">
        <v>1</v>
      </c>
      <c r="E33" t="s">
        <v>46</v>
      </c>
      <c r="F33" t="s">
        <v>47</v>
      </c>
      <c r="G33" t="s">
        <v>48</v>
      </c>
      <c r="H33" t="s">
        <v>3</v>
      </c>
      <c r="I33">
        <f>ROUND(I32*1.4,9)</f>
        <v>22.05</v>
      </c>
      <c r="J33">
        <v>0</v>
      </c>
      <c r="O33">
        <f t="shared" si="21"/>
        <v>2211.62</v>
      </c>
      <c r="P33">
        <f t="shared" si="22"/>
        <v>2211.62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42184655</v>
      </c>
      <c r="AB33">
        <f t="shared" si="32"/>
        <v>100.3</v>
      </c>
      <c r="AC33">
        <f t="shared" ref="AC33:AC38" si="52">ROUND((ES33),6)</f>
        <v>100.3</v>
      </c>
      <c r="AD33">
        <f t="shared" ref="AD33:AD38" si="53">ROUND((((ET33)-(EU33))+AE33),6)</f>
        <v>0</v>
      </c>
      <c r="AE33">
        <f t="shared" ref="AE33:AF38" si="54">ROUND((EU33),6)</f>
        <v>0</v>
      </c>
      <c r="AF33">
        <f t="shared" si="54"/>
        <v>0</v>
      </c>
      <c r="AG33">
        <f t="shared" si="34"/>
        <v>0</v>
      </c>
      <c r="AH33">
        <f t="shared" ref="AH33:AI38" si="55">(EW33)</f>
        <v>0</v>
      </c>
      <c r="AI33">
        <f t="shared" si="55"/>
        <v>0</v>
      </c>
      <c r="AJ33">
        <f t="shared" si="36"/>
        <v>0</v>
      </c>
      <c r="AK33">
        <v>100.3</v>
      </c>
      <c r="AL33">
        <v>100.3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6001</v>
      </c>
      <c r="BN33">
        <v>0</v>
      </c>
      <c r="BO33" t="s">
        <v>3</v>
      </c>
      <c r="BP33">
        <v>0</v>
      </c>
      <c r="BQ33">
        <v>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7"/>
        <v>2211.62</v>
      </c>
      <c r="CQ33">
        <f t="shared" si="38"/>
        <v>100.3</v>
      </c>
      <c r="CR33">
        <f t="shared" ref="CR33:CR38" si="56">((((ET33)*BB33-(EU33)*BS33)+AE33*BS33)*AV33)</f>
        <v>0</v>
      </c>
      <c r="CS33">
        <f t="shared" si="39"/>
        <v>0</v>
      </c>
      <c r="CT33">
        <f t="shared" si="40"/>
        <v>0</v>
      </c>
      <c r="CU33">
        <f t="shared" si="41"/>
        <v>0</v>
      </c>
      <c r="CV33">
        <f t="shared" si="42"/>
        <v>0</v>
      </c>
      <c r="CW33">
        <f t="shared" si="43"/>
        <v>0</v>
      </c>
      <c r="CX33">
        <f t="shared" si="44"/>
        <v>0</v>
      </c>
      <c r="CY33">
        <f t="shared" si="45"/>
        <v>0</v>
      </c>
      <c r="CZ33">
        <f t="shared" si="46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EE33">
        <v>42086242</v>
      </c>
      <c r="EF33">
        <v>0</v>
      </c>
      <c r="EG33" t="s">
        <v>49</v>
      </c>
      <c r="EH33">
        <v>0</v>
      </c>
      <c r="EI33" t="s">
        <v>3</v>
      </c>
      <c r="EJ33">
        <v>1</v>
      </c>
      <c r="EK33">
        <v>6001</v>
      </c>
      <c r="EL33" t="s">
        <v>50</v>
      </c>
      <c r="EM33" t="s">
        <v>49</v>
      </c>
      <c r="EO33" t="s">
        <v>3</v>
      </c>
      <c r="EQ33">
        <v>0</v>
      </c>
      <c r="ER33">
        <v>100.3</v>
      </c>
      <c r="ES33">
        <v>100.3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100.3</v>
      </c>
      <c r="FQ33">
        <v>0</v>
      </c>
      <c r="FR33">
        <f t="shared" si="47"/>
        <v>0</v>
      </c>
      <c r="FS33">
        <v>0</v>
      </c>
      <c r="FX33">
        <v>0</v>
      </c>
      <c r="FY33">
        <v>0</v>
      </c>
      <c r="GA33" t="s">
        <v>51</v>
      </c>
      <c r="GD33">
        <v>0</v>
      </c>
      <c r="GF33">
        <v>572566054</v>
      </c>
      <c r="GG33">
        <v>2</v>
      </c>
      <c r="GH33">
        <v>3</v>
      </c>
      <c r="GI33">
        <v>-2</v>
      </c>
      <c r="GJ33">
        <v>0</v>
      </c>
      <c r="GK33">
        <f>ROUND(R33*(R12)/100,2)</f>
        <v>0</v>
      </c>
      <c r="GL33">
        <f t="shared" si="48"/>
        <v>0</v>
      </c>
      <c r="GM33">
        <f t="shared" ref="GM33:GM38" si="57">ROUND(O33+X33+Y33+GK33,2)+GX33</f>
        <v>2211.62</v>
      </c>
      <c r="GN33">
        <f t="shared" ref="GN33:GN38" si="58">IF(OR(BI33=0,BI33=1),ROUND(O33+X33+Y33+GK33,2),0)</f>
        <v>2211.62</v>
      </c>
      <c r="GO33">
        <f t="shared" ref="GO33:GO38" si="59">IF(BI33=2,ROUND(O33+X33+Y33+GK33,2),0)</f>
        <v>0</v>
      </c>
      <c r="GP33">
        <f t="shared" ref="GP33:GP38" si="60">IF(BI33=4,ROUND(O33+X33+Y33+GK33,2)+GX33,0)</f>
        <v>0</v>
      </c>
      <c r="GR33">
        <v>1</v>
      </c>
      <c r="GS33">
        <v>1</v>
      </c>
      <c r="GT33">
        <v>0</v>
      </c>
      <c r="GU33" t="s">
        <v>3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HC33">
        <f t="shared" si="51"/>
        <v>0</v>
      </c>
      <c r="IK33">
        <v>0</v>
      </c>
    </row>
    <row r="34" spans="1:245" x14ac:dyDescent="0.2">
      <c r="A34">
        <v>17</v>
      </c>
      <c r="B34">
        <v>1</v>
      </c>
      <c r="C34">
        <f>ROW(SmtRes!A15)</f>
        <v>15</v>
      </c>
      <c r="D34">
        <f>ROW(EtalonRes!A15)</f>
        <v>15</v>
      </c>
      <c r="E34" t="s">
        <v>52</v>
      </c>
      <c r="F34" t="s">
        <v>53</v>
      </c>
      <c r="G34" t="s">
        <v>54</v>
      </c>
      <c r="H34" t="s">
        <v>22</v>
      </c>
      <c r="I34">
        <f>ROUND(35*0.2/100,9)</f>
        <v>7.0000000000000007E-2</v>
      </c>
      <c r="J34">
        <v>0</v>
      </c>
      <c r="O34">
        <f t="shared" si="21"/>
        <v>5310.47</v>
      </c>
      <c r="P34">
        <f t="shared" si="22"/>
        <v>4561.34</v>
      </c>
      <c r="Q34">
        <f t="shared" si="23"/>
        <v>532.16</v>
      </c>
      <c r="R34">
        <f t="shared" si="24"/>
        <v>225.61</v>
      </c>
      <c r="S34">
        <f t="shared" si="25"/>
        <v>216.97</v>
      </c>
      <c r="T34">
        <f t="shared" si="26"/>
        <v>0</v>
      </c>
      <c r="U34">
        <f t="shared" si="27"/>
        <v>1.1592</v>
      </c>
      <c r="V34">
        <f t="shared" si="28"/>
        <v>0</v>
      </c>
      <c r="W34">
        <f t="shared" si="29"/>
        <v>0</v>
      </c>
      <c r="X34">
        <f t="shared" si="30"/>
        <v>151.88</v>
      </c>
      <c r="Y34">
        <f t="shared" si="31"/>
        <v>21.7</v>
      </c>
      <c r="AA34">
        <v>42184655</v>
      </c>
      <c r="AB34">
        <f t="shared" si="32"/>
        <v>75863.820000000007</v>
      </c>
      <c r="AC34">
        <f t="shared" si="52"/>
        <v>65162.05</v>
      </c>
      <c r="AD34">
        <f t="shared" si="53"/>
        <v>7602.23</v>
      </c>
      <c r="AE34">
        <f t="shared" si="54"/>
        <v>3222.98</v>
      </c>
      <c r="AF34">
        <f t="shared" si="54"/>
        <v>3099.54</v>
      </c>
      <c r="AG34">
        <f t="shared" si="34"/>
        <v>0</v>
      </c>
      <c r="AH34">
        <f t="shared" si="55"/>
        <v>16.559999999999999</v>
      </c>
      <c r="AI34">
        <f t="shared" si="55"/>
        <v>0</v>
      </c>
      <c r="AJ34">
        <f t="shared" si="36"/>
        <v>0</v>
      </c>
      <c r="AK34">
        <v>75863.820000000007</v>
      </c>
      <c r="AL34">
        <v>65162.05</v>
      </c>
      <c r="AM34">
        <v>7602.23</v>
      </c>
      <c r="AN34">
        <v>3222.98</v>
      </c>
      <c r="AO34">
        <v>3099.54</v>
      </c>
      <c r="AP34">
        <v>0</v>
      </c>
      <c r="AQ34">
        <v>16.559999999999999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4</v>
      </c>
      <c r="BJ34" t="s">
        <v>55</v>
      </c>
      <c r="BM34">
        <v>0</v>
      </c>
      <c r="BN34">
        <v>0</v>
      </c>
      <c r="BO34" t="s">
        <v>3</v>
      </c>
      <c r="BP34">
        <v>0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70</v>
      </c>
      <c r="CA34">
        <v>10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7"/>
        <v>5310.47</v>
      </c>
      <c r="CQ34">
        <f t="shared" si="38"/>
        <v>65162.05</v>
      </c>
      <c r="CR34">
        <f t="shared" si="56"/>
        <v>7602.23</v>
      </c>
      <c r="CS34">
        <f t="shared" si="39"/>
        <v>3222.98</v>
      </c>
      <c r="CT34">
        <f t="shared" si="40"/>
        <v>3099.54</v>
      </c>
      <c r="CU34">
        <f t="shared" si="41"/>
        <v>0</v>
      </c>
      <c r="CV34">
        <f t="shared" si="42"/>
        <v>16.559999999999999</v>
      </c>
      <c r="CW34">
        <f t="shared" si="43"/>
        <v>0</v>
      </c>
      <c r="CX34">
        <f t="shared" si="44"/>
        <v>0</v>
      </c>
      <c r="CY34">
        <f t="shared" si="45"/>
        <v>151.87899999999999</v>
      </c>
      <c r="CZ34">
        <f t="shared" si="46"/>
        <v>21.696999999999999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1007</v>
      </c>
      <c r="DV34" t="s">
        <v>22</v>
      </c>
      <c r="DW34" t="s">
        <v>22</v>
      </c>
      <c r="DX34">
        <v>100</v>
      </c>
      <c r="EE34">
        <v>40658659</v>
      </c>
      <c r="EF34">
        <v>1</v>
      </c>
      <c r="EG34" t="s">
        <v>24</v>
      </c>
      <c r="EH34">
        <v>0</v>
      </c>
      <c r="EI34" t="s">
        <v>3</v>
      </c>
      <c r="EJ34">
        <v>4</v>
      </c>
      <c r="EK34">
        <v>0</v>
      </c>
      <c r="EL34" t="s">
        <v>25</v>
      </c>
      <c r="EM34" t="s">
        <v>26</v>
      </c>
      <c r="EO34" t="s">
        <v>3</v>
      </c>
      <c r="EQ34">
        <v>0</v>
      </c>
      <c r="ER34">
        <v>75863.820000000007</v>
      </c>
      <c r="ES34">
        <v>65162.05</v>
      </c>
      <c r="ET34">
        <v>7602.23</v>
      </c>
      <c r="EU34">
        <v>3222.98</v>
      </c>
      <c r="EV34">
        <v>3099.54</v>
      </c>
      <c r="EW34">
        <v>16.559999999999999</v>
      </c>
      <c r="EX34">
        <v>0</v>
      </c>
      <c r="EY34">
        <v>0</v>
      </c>
      <c r="FQ34">
        <v>0</v>
      </c>
      <c r="FR34">
        <f t="shared" si="47"/>
        <v>0</v>
      </c>
      <c r="FS34">
        <v>0</v>
      </c>
      <c r="FX34">
        <v>70</v>
      </c>
      <c r="FY34">
        <v>10</v>
      </c>
      <c r="GA34" t="s">
        <v>3</v>
      </c>
      <c r="GD34">
        <v>0</v>
      </c>
      <c r="GF34">
        <v>2135562757</v>
      </c>
      <c r="GG34">
        <v>2</v>
      </c>
      <c r="GH34">
        <v>1</v>
      </c>
      <c r="GI34">
        <v>-2</v>
      </c>
      <c r="GJ34">
        <v>0</v>
      </c>
      <c r="GK34">
        <f>ROUND(R34*(R12)/100,2)</f>
        <v>243.66</v>
      </c>
      <c r="GL34">
        <f t="shared" si="48"/>
        <v>0</v>
      </c>
      <c r="GM34">
        <f t="shared" si="57"/>
        <v>5727.71</v>
      </c>
      <c r="GN34">
        <f t="shared" si="58"/>
        <v>0</v>
      </c>
      <c r="GO34">
        <f t="shared" si="59"/>
        <v>0</v>
      </c>
      <c r="GP34">
        <f t="shared" si="60"/>
        <v>5727.71</v>
      </c>
      <c r="GR34">
        <v>0</v>
      </c>
      <c r="GS34">
        <v>3</v>
      </c>
      <c r="GT34">
        <v>0</v>
      </c>
      <c r="GU34" t="s">
        <v>3</v>
      </c>
      <c r="GV34">
        <f t="shared" si="49"/>
        <v>0</v>
      </c>
      <c r="GW34">
        <v>1</v>
      </c>
      <c r="GX34">
        <f t="shared" si="50"/>
        <v>0</v>
      </c>
      <c r="HA34">
        <v>0</v>
      </c>
      <c r="HB34">
        <v>0</v>
      </c>
      <c r="HC34">
        <f t="shared" si="51"/>
        <v>0</v>
      </c>
      <c r="IK34">
        <v>0</v>
      </c>
    </row>
    <row r="35" spans="1:245" x14ac:dyDescent="0.2">
      <c r="A35">
        <v>17</v>
      </c>
      <c r="B35">
        <v>1</v>
      </c>
      <c r="C35">
        <f>ROW(SmtRes!A24)</f>
        <v>24</v>
      </c>
      <c r="D35">
        <f>ROW(EtalonRes!A24)</f>
        <v>24</v>
      </c>
      <c r="E35" t="s">
        <v>56</v>
      </c>
      <c r="F35" t="s">
        <v>57</v>
      </c>
      <c r="G35" t="s">
        <v>58</v>
      </c>
      <c r="H35" t="s">
        <v>22</v>
      </c>
      <c r="I35">
        <f>ROUND((35*0.2)/100,9)</f>
        <v>7.0000000000000007E-2</v>
      </c>
      <c r="J35">
        <v>0</v>
      </c>
      <c r="O35">
        <f t="shared" si="21"/>
        <v>19660.52</v>
      </c>
      <c r="P35">
        <f t="shared" si="22"/>
        <v>15573.55</v>
      </c>
      <c r="Q35">
        <f t="shared" si="23"/>
        <v>3761.52</v>
      </c>
      <c r="R35">
        <f t="shared" si="24"/>
        <v>1485.06</v>
      </c>
      <c r="S35">
        <f t="shared" si="25"/>
        <v>325.45</v>
      </c>
      <c r="T35">
        <f t="shared" si="26"/>
        <v>0</v>
      </c>
      <c r="U35">
        <f t="shared" si="27"/>
        <v>1.7388000000000001</v>
      </c>
      <c r="V35">
        <f t="shared" si="28"/>
        <v>0</v>
      </c>
      <c r="W35">
        <f t="shared" si="29"/>
        <v>0</v>
      </c>
      <c r="X35">
        <f t="shared" si="30"/>
        <v>227.82</v>
      </c>
      <c r="Y35">
        <f t="shared" si="31"/>
        <v>32.549999999999997</v>
      </c>
      <c r="AA35">
        <v>42184655</v>
      </c>
      <c r="AB35">
        <f t="shared" si="32"/>
        <v>280864.57</v>
      </c>
      <c r="AC35">
        <f t="shared" si="52"/>
        <v>222479.25</v>
      </c>
      <c r="AD35">
        <f t="shared" si="53"/>
        <v>53736.02</v>
      </c>
      <c r="AE35">
        <f t="shared" si="54"/>
        <v>21215.13</v>
      </c>
      <c r="AF35">
        <f t="shared" si="54"/>
        <v>4649.3</v>
      </c>
      <c r="AG35">
        <f t="shared" si="34"/>
        <v>0</v>
      </c>
      <c r="AH35">
        <f t="shared" si="55"/>
        <v>24.84</v>
      </c>
      <c r="AI35">
        <f t="shared" si="55"/>
        <v>0</v>
      </c>
      <c r="AJ35">
        <f t="shared" si="36"/>
        <v>0</v>
      </c>
      <c r="AK35">
        <v>280864.57</v>
      </c>
      <c r="AL35">
        <v>222479.25</v>
      </c>
      <c r="AM35">
        <v>53736.02</v>
      </c>
      <c r="AN35">
        <v>21215.13</v>
      </c>
      <c r="AO35">
        <v>4649.3</v>
      </c>
      <c r="AP35">
        <v>0</v>
      </c>
      <c r="AQ35">
        <v>24.84</v>
      </c>
      <c r="AR35">
        <v>0</v>
      </c>
      <c r="AS35">
        <v>0</v>
      </c>
      <c r="AT35">
        <v>70</v>
      </c>
      <c r="AU35">
        <v>10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59</v>
      </c>
      <c r="BM35">
        <v>0</v>
      </c>
      <c r="BN35">
        <v>0</v>
      </c>
      <c r="BO35" t="s">
        <v>3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70</v>
      </c>
      <c r="CA35">
        <v>10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7"/>
        <v>19660.52</v>
      </c>
      <c r="CQ35">
        <f t="shared" si="38"/>
        <v>222479.25</v>
      </c>
      <c r="CR35">
        <f t="shared" si="56"/>
        <v>53736.02</v>
      </c>
      <c r="CS35">
        <f t="shared" si="39"/>
        <v>21215.13</v>
      </c>
      <c r="CT35">
        <f t="shared" si="40"/>
        <v>4649.3</v>
      </c>
      <c r="CU35">
        <f t="shared" si="41"/>
        <v>0</v>
      </c>
      <c r="CV35">
        <f t="shared" si="42"/>
        <v>24.84</v>
      </c>
      <c r="CW35">
        <f t="shared" si="43"/>
        <v>0</v>
      </c>
      <c r="CX35">
        <f t="shared" si="44"/>
        <v>0</v>
      </c>
      <c r="CY35">
        <f t="shared" si="45"/>
        <v>227.815</v>
      </c>
      <c r="CZ35">
        <f t="shared" si="46"/>
        <v>32.545000000000002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22</v>
      </c>
      <c r="DW35" t="s">
        <v>22</v>
      </c>
      <c r="DX35">
        <v>100</v>
      </c>
      <c r="EE35">
        <v>40658659</v>
      </c>
      <c r="EF35">
        <v>1</v>
      </c>
      <c r="EG35" t="s">
        <v>24</v>
      </c>
      <c r="EH35">
        <v>0</v>
      </c>
      <c r="EI35" t="s">
        <v>3</v>
      </c>
      <c r="EJ35">
        <v>4</v>
      </c>
      <c r="EK35">
        <v>0</v>
      </c>
      <c r="EL35" t="s">
        <v>25</v>
      </c>
      <c r="EM35" t="s">
        <v>26</v>
      </c>
      <c r="EO35" t="s">
        <v>3</v>
      </c>
      <c r="EQ35">
        <v>0</v>
      </c>
      <c r="ER35">
        <v>280864.57</v>
      </c>
      <c r="ES35">
        <v>222479.25</v>
      </c>
      <c r="ET35">
        <v>53736.02</v>
      </c>
      <c r="EU35">
        <v>21215.13</v>
      </c>
      <c r="EV35">
        <v>4649.3</v>
      </c>
      <c r="EW35">
        <v>24.84</v>
      </c>
      <c r="EX35">
        <v>0</v>
      </c>
      <c r="EY35">
        <v>0</v>
      </c>
      <c r="FQ35">
        <v>0</v>
      </c>
      <c r="FR35">
        <f t="shared" si="47"/>
        <v>0</v>
      </c>
      <c r="FS35">
        <v>0</v>
      </c>
      <c r="FX35">
        <v>70</v>
      </c>
      <c r="FY35">
        <v>10</v>
      </c>
      <c r="GA35" t="s">
        <v>3</v>
      </c>
      <c r="GD35">
        <v>0</v>
      </c>
      <c r="GF35">
        <v>-967976254</v>
      </c>
      <c r="GG35">
        <v>2</v>
      </c>
      <c r="GH35">
        <v>1</v>
      </c>
      <c r="GI35">
        <v>-2</v>
      </c>
      <c r="GJ35">
        <v>0</v>
      </c>
      <c r="GK35">
        <f>ROUND(R35*(R12)/100,2)</f>
        <v>1603.86</v>
      </c>
      <c r="GL35">
        <f t="shared" si="48"/>
        <v>0</v>
      </c>
      <c r="GM35">
        <f t="shared" si="57"/>
        <v>21524.75</v>
      </c>
      <c r="GN35">
        <f t="shared" si="58"/>
        <v>0</v>
      </c>
      <c r="GO35">
        <f t="shared" si="59"/>
        <v>0</v>
      </c>
      <c r="GP35">
        <f t="shared" si="60"/>
        <v>21524.75</v>
      </c>
      <c r="GR35">
        <v>0</v>
      </c>
      <c r="GS35">
        <v>3</v>
      </c>
      <c r="GT35">
        <v>0</v>
      </c>
      <c r="GU35" t="s">
        <v>3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HC35">
        <f t="shared" si="51"/>
        <v>0</v>
      </c>
      <c r="IK35">
        <v>0</v>
      </c>
    </row>
    <row r="36" spans="1:245" x14ac:dyDescent="0.2">
      <c r="A36">
        <v>17</v>
      </c>
      <c r="B36">
        <v>1</v>
      </c>
      <c r="C36">
        <f>ROW(SmtRes!A29)</f>
        <v>29</v>
      </c>
      <c r="D36">
        <f>ROW(EtalonRes!A28)</f>
        <v>28</v>
      </c>
      <c r="E36" t="s">
        <v>60</v>
      </c>
      <c r="F36" t="s">
        <v>61</v>
      </c>
      <c r="G36" t="s">
        <v>62</v>
      </c>
      <c r="H36" t="s">
        <v>63</v>
      </c>
      <c r="I36">
        <v>0.35</v>
      </c>
      <c r="J36">
        <v>0</v>
      </c>
      <c r="O36">
        <f t="shared" si="21"/>
        <v>8388.42</v>
      </c>
      <c r="P36">
        <f t="shared" si="22"/>
        <v>7171.1</v>
      </c>
      <c r="Q36">
        <f t="shared" si="23"/>
        <v>393.07</v>
      </c>
      <c r="R36">
        <f t="shared" si="24"/>
        <v>165.1</v>
      </c>
      <c r="S36">
        <f t="shared" si="25"/>
        <v>824.25</v>
      </c>
      <c r="T36">
        <f t="shared" si="26"/>
        <v>0</v>
      </c>
      <c r="U36">
        <f t="shared" si="27"/>
        <v>3.605</v>
      </c>
      <c r="V36">
        <f t="shared" si="28"/>
        <v>0</v>
      </c>
      <c r="W36">
        <f t="shared" si="29"/>
        <v>0</v>
      </c>
      <c r="X36">
        <f t="shared" si="30"/>
        <v>576.98</v>
      </c>
      <c r="Y36">
        <f t="shared" si="31"/>
        <v>82.43</v>
      </c>
      <c r="AA36">
        <v>42184655</v>
      </c>
      <c r="AB36">
        <f t="shared" si="32"/>
        <v>23966.9</v>
      </c>
      <c r="AC36">
        <f t="shared" si="52"/>
        <v>20488.849999999999</v>
      </c>
      <c r="AD36">
        <f t="shared" si="53"/>
        <v>1123.06</v>
      </c>
      <c r="AE36">
        <f t="shared" si="54"/>
        <v>471.72</v>
      </c>
      <c r="AF36">
        <f t="shared" si="54"/>
        <v>2354.9899999999998</v>
      </c>
      <c r="AG36">
        <f t="shared" si="34"/>
        <v>0</v>
      </c>
      <c r="AH36">
        <f t="shared" si="55"/>
        <v>10.3</v>
      </c>
      <c r="AI36">
        <f t="shared" si="55"/>
        <v>0</v>
      </c>
      <c r="AJ36">
        <f t="shared" si="36"/>
        <v>0</v>
      </c>
      <c r="AK36">
        <v>23966.9</v>
      </c>
      <c r="AL36">
        <v>20488.849999999999</v>
      </c>
      <c r="AM36">
        <v>1123.06</v>
      </c>
      <c r="AN36">
        <v>471.72</v>
      </c>
      <c r="AO36">
        <v>2354.9899999999998</v>
      </c>
      <c r="AP36">
        <v>0</v>
      </c>
      <c r="AQ36">
        <v>10.3</v>
      </c>
      <c r="AR36">
        <v>0</v>
      </c>
      <c r="AS36">
        <v>0</v>
      </c>
      <c r="AT36">
        <v>70</v>
      </c>
      <c r="AU36">
        <v>10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4</v>
      </c>
      <c r="BJ36" t="s">
        <v>64</v>
      </c>
      <c r="BM36">
        <v>0</v>
      </c>
      <c r="BN36">
        <v>0</v>
      </c>
      <c r="BO36" t="s">
        <v>3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70</v>
      </c>
      <c r="CA36">
        <v>10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7"/>
        <v>8388.42</v>
      </c>
      <c r="CQ36">
        <f t="shared" si="38"/>
        <v>20488.849999999999</v>
      </c>
      <c r="CR36">
        <f t="shared" si="56"/>
        <v>1123.06</v>
      </c>
      <c r="CS36">
        <f t="shared" si="39"/>
        <v>471.72</v>
      </c>
      <c r="CT36">
        <f t="shared" si="40"/>
        <v>2354.9899999999998</v>
      </c>
      <c r="CU36">
        <f t="shared" si="41"/>
        <v>0</v>
      </c>
      <c r="CV36">
        <f t="shared" si="42"/>
        <v>10.3</v>
      </c>
      <c r="CW36">
        <f t="shared" si="43"/>
        <v>0</v>
      </c>
      <c r="CX36">
        <f t="shared" si="44"/>
        <v>0</v>
      </c>
      <c r="CY36">
        <f t="shared" si="45"/>
        <v>576.97500000000002</v>
      </c>
      <c r="CZ36">
        <f t="shared" si="46"/>
        <v>82.424999999999997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1005</v>
      </c>
      <c r="DV36" t="s">
        <v>63</v>
      </c>
      <c r="DW36" t="s">
        <v>63</v>
      </c>
      <c r="DX36">
        <v>100</v>
      </c>
      <c r="EE36">
        <v>40658659</v>
      </c>
      <c r="EF36">
        <v>1</v>
      </c>
      <c r="EG36" t="s">
        <v>24</v>
      </c>
      <c r="EH36">
        <v>0</v>
      </c>
      <c r="EI36" t="s">
        <v>3</v>
      </c>
      <c r="EJ36">
        <v>4</v>
      </c>
      <c r="EK36">
        <v>0</v>
      </c>
      <c r="EL36" t="s">
        <v>25</v>
      </c>
      <c r="EM36" t="s">
        <v>26</v>
      </c>
      <c r="EO36" t="s">
        <v>3</v>
      </c>
      <c r="EQ36">
        <v>0</v>
      </c>
      <c r="ER36">
        <v>23966.9</v>
      </c>
      <c r="ES36">
        <v>20488.849999999999</v>
      </c>
      <c r="ET36">
        <v>1123.06</v>
      </c>
      <c r="EU36">
        <v>471.72</v>
      </c>
      <c r="EV36">
        <v>2354.9899999999998</v>
      </c>
      <c r="EW36">
        <v>10.3</v>
      </c>
      <c r="EX36">
        <v>0</v>
      </c>
      <c r="EY36">
        <v>0</v>
      </c>
      <c r="FQ36">
        <v>0</v>
      </c>
      <c r="FR36">
        <f t="shared" si="47"/>
        <v>0</v>
      </c>
      <c r="FS36">
        <v>0</v>
      </c>
      <c r="FX36">
        <v>70</v>
      </c>
      <c r="FY36">
        <v>10</v>
      </c>
      <c r="GA36" t="s">
        <v>3</v>
      </c>
      <c r="GD36">
        <v>0</v>
      </c>
      <c r="GF36">
        <v>-1182614676</v>
      </c>
      <c r="GG36">
        <v>2</v>
      </c>
      <c r="GH36">
        <v>1</v>
      </c>
      <c r="GI36">
        <v>-2</v>
      </c>
      <c r="GJ36">
        <v>0</v>
      </c>
      <c r="GK36">
        <f>ROUND(R36*(R12)/100,2)</f>
        <v>178.31</v>
      </c>
      <c r="GL36">
        <f t="shared" si="48"/>
        <v>0</v>
      </c>
      <c r="GM36">
        <f t="shared" si="57"/>
        <v>9226.14</v>
      </c>
      <c r="GN36">
        <f t="shared" si="58"/>
        <v>0</v>
      </c>
      <c r="GO36">
        <f t="shared" si="59"/>
        <v>0</v>
      </c>
      <c r="GP36">
        <f t="shared" si="60"/>
        <v>9226.14</v>
      </c>
      <c r="GR36">
        <v>0</v>
      </c>
      <c r="GS36">
        <v>3</v>
      </c>
      <c r="GT36">
        <v>0</v>
      </c>
      <c r="GU36" t="s">
        <v>3</v>
      </c>
      <c r="GV36">
        <f t="shared" si="49"/>
        <v>0</v>
      </c>
      <c r="GW36">
        <v>1</v>
      </c>
      <c r="GX36">
        <f t="shared" si="50"/>
        <v>0</v>
      </c>
      <c r="HA36">
        <v>0</v>
      </c>
      <c r="HB36">
        <v>0</v>
      </c>
      <c r="HC36">
        <f t="shared" si="51"/>
        <v>0</v>
      </c>
      <c r="IK36">
        <v>0</v>
      </c>
    </row>
    <row r="37" spans="1:245" x14ac:dyDescent="0.2">
      <c r="A37">
        <v>18</v>
      </c>
      <c r="B37">
        <v>1</v>
      </c>
      <c r="C37">
        <v>28</v>
      </c>
      <c r="E37" t="s">
        <v>65</v>
      </c>
      <c r="F37" t="s">
        <v>66</v>
      </c>
      <c r="G37" t="s">
        <v>67</v>
      </c>
      <c r="H37" t="s">
        <v>68</v>
      </c>
      <c r="I37">
        <f>I36*J37</f>
        <v>-2.4990000000000001</v>
      </c>
      <c r="J37">
        <v>-7.1400000000000006</v>
      </c>
      <c r="O37">
        <f t="shared" si="21"/>
        <v>-6627.45</v>
      </c>
      <c r="P37">
        <f t="shared" si="22"/>
        <v>-6627.45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42184655</v>
      </c>
      <c r="AB37">
        <f t="shared" si="32"/>
        <v>2652.04</v>
      </c>
      <c r="AC37">
        <f t="shared" si="52"/>
        <v>2652.04</v>
      </c>
      <c r="AD37">
        <f t="shared" si="53"/>
        <v>0</v>
      </c>
      <c r="AE37">
        <f t="shared" si="54"/>
        <v>0</v>
      </c>
      <c r="AF37">
        <f t="shared" si="54"/>
        <v>0</v>
      </c>
      <c r="AG37">
        <f t="shared" si="34"/>
        <v>0</v>
      </c>
      <c r="AH37">
        <f t="shared" si="55"/>
        <v>0</v>
      </c>
      <c r="AI37">
        <f t="shared" si="55"/>
        <v>0</v>
      </c>
      <c r="AJ37">
        <f t="shared" si="36"/>
        <v>0</v>
      </c>
      <c r="AK37">
        <v>2652.04</v>
      </c>
      <c r="AL37">
        <v>2652.04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70</v>
      </c>
      <c r="AU37">
        <v>10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4</v>
      </c>
      <c r="BJ37" t="s">
        <v>69</v>
      </c>
      <c r="BM37">
        <v>0</v>
      </c>
      <c r="BN37">
        <v>0</v>
      </c>
      <c r="BO37" t="s">
        <v>3</v>
      </c>
      <c r="BP37">
        <v>0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70</v>
      </c>
      <c r="CA37">
        <v>10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7"/>
        <v>-6627.45</v>
      </c>
      <c r="CQ37">
        <f t="shared" si="38"/>
        <v>2652.04</v>
      </c>
      <c r="CR37">
        <f t="shared" si="56"/>
        <v>0</v>
      </c>
      <c r="CS37">
        <f t="shared" si="39"/>
        <v>0</v>
      </c>
      <c r="CT37">
        <f t="shared" si="40"/>
        <v>0</v>
      </c>
      <c r="CU37">
        <f t="shared" si="41"/>
        <v>0</v>
      </c>
      <c r="CV37">
        <f t="shared" si="42"/>
        <v>0</v>
      </c>
      <c r="CW37">
        <f t="shared" si="43"/>
        <v>0</v>
      </c>
      <c r="CX37">
        <f t="shared" si="44"/>
        <v>0</v>
      </c>
      <c r="CY37">
        <f t="shared" si="45"/>
        <v>0</v>
      </c>
      <c r="CZ37">
        <f t="shared" si="46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68</v>
      </c>
      <c r="DW37" t="s">
        <v>68</v>
      </c>
      <c r="DX37">
        <v>1000</v>
      </c>
      <c r="EE37">
        <v>40658659</v>
      </c>
      <c r="EF37">
        <v>1</v>
      </c>
      <c r="EG37" t="s">
        <v>24</v>
      </c>
      <c r="EH37">
        <v>0</v>
      </c>
      <c r="EI37" t="s">
        <v>3</v>
      </c>
      <c r="EJ37">
        <v>4</v>
      </c>
      <c r="EK37">
        <v>0</v>
      </c>
      <c r="EL37" t="s">
        <v>25</v>
      </c>
      <c r="EM37" t="s">
        <v>26</v>
      </c>
      <c r="EO37" t="s">
        <v>3</v>
      </c>
      <c r="EQ37">
        <v>0</v>
      </c>
      <c r="ER37">
        <v>2652.04</v>
      </c>
      <c r="ES37">
        <v>2652.04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47"/>
        <v>0</v>
      </c>
      <c r="FS37">
        <v>0</v>
      </c>
      <c r="FX37">
        <v>70</v>
      </c>
      <c r="FY37">
        <v>10</v>
      </c>
      <c r="GA37" t="s">
        <v>3</v>
      </c>
      <c r="GD37">
        <v>0</v>
      </c>
      <c r="GF37">
        <v>-740831190</v>
      </c>
      <c r="GG37">
        <v>2</v>
      </c>
      <c r="GH37">
        <v>1</v>
      </c>
      <c r="GI37">
        <v>-2</v>
      </c>
      <c r="GJ37">
        <v>0</v>
      </c>
      <c r="GK37">
        <f>ROUND(R37*(R12)/100,2)</f>
        <v>0</v>
      </c>
      <c r="GL37">
        <f t="shared" si="48"/>
        <v>0</v>
      </c>
      <c r="GM37">
        <f t="shared" si="57"/>
        <v>-6627.45</v>
      </c>
      <c r="GN37">
        <f t="shared" si="58"/>
        <v>0</v>
      </c>
      <c r="GO37">
        <f t="shared" si="59"/>
        <v>0</v>
      </c>
      <c r="GP37">
        <f t="shared" si="60"/>
        <v>-6627.45</v>
      </c>
      <c r="GR37">
        <v>0</v>
      </c>
      <c r="GS37">
        <v>3</v>
      </c>
      <c r="GT37">
        <v>0</v>
      </c>
      <c r="GU37" t="s">
        <v>3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HC37">
        <f t="shared" si="51"/>
        <v>0</v>
      </c>
      <c r="IK37">
        <v>0</v>
      </c>
    </row>
    <row r="38" spans="1:245" x14ac:dyDescent="0.2">
      <c r="A38">
        <v>18</v>
      </c>
      <c r="B38">
        <v>1</v>
      </c>
      <c r="C38">
        <v>29</v>
      </c>
      <c r="E38" t="s">
        <v>70</v>
      </c>
      <c r="F38" t="s">
        <v>66</v>
      </c>
      <c r="G38" t="s">
        <v>67</v>
      </c>
      <c r="H38" t="s">
        <v>68</v>
      </c>
      <c r="I38">
        <f>I36*J38</f>
        <v>4.165</v>
      </c>
      <c r="J38">
        <v>11.9</v>
      </c>
      <c r="O38">
        <f t="shared" si="21"/>
        <v>11045.75</v>
      </c>
      <c r="P38">
        <f t="shared" si="22"/>
        <v>11045.75</v>
      </c>
      <c r="Q38">
        <f t="shared" si="23"/>
        <v>0</v>
      </c>
      <c r="R38">
        <f t="shared" si="24"/>
        <v>0</v>
      </c>
      <c r="S38">
        <f t="shared" si="25"/>
        <v>0</v>
      </c>
      <c r="T38">
        <f t="shared" si="26"/>
        <v>0</v>
      </c>
      <c r="U38">
        <f t="shared" si="27"/>
        <v>0</v>
      </c>
      <c r="V38">
        <f t="shared" si="28"/>
        <v>0</v>
      </c>
      <c r="W38">
        <f t="shared" si="29"/>
        <v>0</v>
      </c>
      <c r="X38">
        <f t="shared" si="30"/>
        <v>0</v>
      </c>
      <c r="Y38">
        <f t="shared" si="31"/>
        <v>0</v>
      </c>
      <c r="AA38">
        <v>42184655</v>
      </c>
      <c r="AB38">
        <f t="shared" si="32"/>
        <v>2652.04</v>
      </c>
      <c r="AC38">
        <f t="shared" si="52"/>
        <v>2652.04</v>
      </c>
      <c r="AD38">
        <f t="shared" si="53"/>
        <v>0</v>
      </c>
      <c r="AE38">
        <f t="shared" si="54"/>
        <v>0</v>
      </c>
      <c r="AF38">
        <f t="shared" si="54"/>
        <v>0</v>
      </c>
      <c r="AG38">
        <f t="shared" si="34"/>
        <v>0</v>
      </c>
      <c r="AH38">
        <f t="shared" si="55"/>
        <v>0</v>
      </c>
      <c r="AI38">
        <f t="shared" si="55"/>
        <v>0</v>
      </c>
      <c r="AJ38">
        <f t="shared" si="36"/>
        <v>0</v>
      </c>
      <c r="AK38">
        <v>2652.04</v>
      </c>
      <c r="AL38">
        <v>2652.04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70</v>
      </c>
      <c r="AU38">
        <v>10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4</v>
      </c>
      <c r="BJ38" t="s">
        <v>69</v>
      </c>
      <c r="BM38">
        <v>0</v>
      </c>
      <c r="BN38">
        <v>0</v>
      </c>
      <c r="BO38" t="s">
        <v>3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70</v>
      </c>
      <c r="CA38">
        <v>10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7"/>
        <v>11045.75</v>
      </c>
      <c r="CQ38">
        <f t="shared" si="38"/>
        <v>2652.04</v>
      </c>
      <c r="CR38">
        <f t="shared" si="56"/>
        <v>0</v>
      </c>
      <c r="CS38">
        <f t="shared" si="39"/>
        <v>0</v>
      </c>
      <c r="CT38">
        <f t="shared" si="40"/>
        <v>0</v>
      </c>
      <c r="CU38">
        <f t="shared" si="41"/>
        <v>0</v>
      </c>
      <c r="CV38">
        <f t="shared" si="42"/>
        <v>0</v>
      </c>
      <c r="CW38">
        <f t="shared" si="43"/>
        <v>0</v>
      </c>
      <c r="CX38">
        <f t="shared" si="44"/>
        <v>0</v>
      </c>
      <c r="CY38">
        <f t="shared" si="45"/>
        <v>0</v>
      </c>
      <c r="CZ38">
        <f t="shared" si="46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68</v>
      </c>
      <c r="DW38" t="s">
        <v>68</v>
      </c>
      <c r="DX38">
        <v>1000</v>
      </c>
      <c r="EE38">
        <v>40658659</v>
      </c>
      <c r="EF38">
        <v>1</v>
      </c>
      <c r="EG38" t="s">
        <v>24</v>
      </c>
      <c r="EH38">
        <v>0</v>
      </c>
      <c r="EI38" t="s">
        <v>3</v>
      </c>
      <c r="EJ38">
        <v>4</v>
      </c>
      <c r="EK38">
        <v>0</v>
      </c>
      <c r="EL38" t="s">
        <v>25</v>
      </c>
      <c r="EM38" t="s">
        <v>26</v>
      </c>
      <c r="EO38" t="s">
        <v>3</v>
      </c>
      <c r="EQ38">
        <v>0</v>
      </c>
      <c r="ER38">
        <v>2652.04</v>
      </c>
      <c r="ES38">
        <v>2652.04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47"/>
        <v>0</v>
      </c>
      <c r="FS38">
        <v>0</v>
      </c>
      <c r="FX38">
        <v>70</v>
      </c>
      <c r="FY38">
        <v>10</v>
      </c>
      <c r="GA38" t="s">
        <v>3</v>
      </c>
      <c r="GD38">
        <v>0</v>
      </c>
      <c r="GF38">
        <v>-740831190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48"/>
        <v>0</v>
      </c>
      <c r="GM38">
        <f t="shared" si="57"/>
        <v>11045.75</v>
      </c>
      <c r="GN38">
        <f t="shared" si="58"/>
        <v>0</v>
      </c>
      <c r="GO38">
        <f t="shared" si="59"/>
        <v>0</v>
      </c>
      <c r="GP38">
        <f t="shared" si="60"/>
        <v>11045.75</v>
      </c>
      <c r="GR38">
        <v>0</v>
      </c>
      <c r="GS38">
        <v>3</v>
      </c>
      <c r="GT38">
        <v>0</v>
      </c>
      <c r="GU38" t="s">
        <v>3</v>
      </c>
      <c r="GV38">
        <f t="shared" si="49"/>
        <v>0</v>
      </c>
      <c r="GW38">
        <v>1</v>
      </c>
      <c r="GX38">
        <f t="shared" si="50"/>
        <v>0</v>
      </c>
      <c r="HA38">
        <v>0</v>
      </c>
      <c r="HB38">
        <v>0</v>
      </c>
      <c r="HC38">
        <f t="shared" si="51"/>
        <v>0</v>
      </c>
      <c r="IK38">
        <v>0</v>
      </c>
    </row>
    <row r="40" spans="1:245" x14ac:dyDescent="0.2">
      <c r="A40" s="2">
        <v>51</v>
      </c>
      <c r="B40" s="2">
        <f>B24</f>
        <v>1</v>
      </c>
      <c r="C40" s="2">
        <f>A24</f>
        <v>4</v>
      </c>
      <c r="D40" s="2">
        <f>ROW(A24)</f>
        <v>24</v>
      </c>
      <c r="E40" s="2"/>
      <c r="F40" s="2" t="str">
        <f>IF(F24&lt;&gt;"",F24,"")</f>
        <v>Новый раздел</v>
      </c>
      <c r="G40" s="2" t="str">
        <f>IF(G24&lt;&gt;"",G24,"")</f>
        <v>Раздел 4.  А/б покрытие пешеходных тротуаров на новое основание (АТ-1) - 35 м2</v>
      </c>
      <c r="H40" s="2">
        <v>0</v>
      </c>
      <c r="I40" s="2"/>
      <c r="J40" s="2"/>
      <c r="K40" s="2"/>
      <c r="L40" s="2"/>
      <c r="M40" s="2"/>
      <c r="N40" s="2"/>
      <c r="O40" s="2">
        <f t="shared" ref="O40:T40" si="61">ROUND(AB40,2)</f>
        <v>55667.38</v>
      </c>
      <c r="P40" s="2">
        <f t="shared" si="61"/>
        <v>33935.910000000003</v>
      </c>
      <c r="Q40" s="2">
        <f t="shared" si="61"/>
        <v>19645.8</v>
      </c>
      <c r="R40" s="2">
        <f t="shared" si="61"/>
        <v>9808.81</v>
      </c>
      <c r="S40" s="2">
        <f t="shared" si="61"/>
        <v>2085.67</v>
      </c>
      <c r="T40" s="2">
        <f t="shared" si="61"/>
        <v>0</v>
      </c>
      <c r="U40" s="2">
        <f>AH40</f>
        <v>10.3493075</v>
      </c>
      <c r="V40" s="2">
        <f>AI40</f>
        <v>0</v>
      </c>
      <c r="W40" s="2">
        <f>ROUND(AJ40,2)</f>
        <v>0</v>
      </c>
      <c r="X40" s="2">
        <f>ROUND(AK40,2)</f>
        <v>1459.98</v>
      </c>
      <c r="Y40" s="2">
        <f>ROUND(AL40,2)</f>
        <v>208.57</v>
      </c>
      <c r="Z40" s="2"/>
      <c r="AA40" s="2"/>
      <c r="AB40" s="2">
        <f>ROUND(SUMIF(AA28:AA38,"=42184655",O28:O38),2)</f>
        <v>55667.38</v>
      </c>
      <c r="AC40" s="2">
        <f>ROUND(SUMIF(AA28:AA38,"=42184655",P28:P38),2)</f>
        <v>33935.910000000003</v>
      </c>
      <c r="AD40" s="2">
        <f>ROUND(SUMIF(AA28:AA38,"=42184655",Q28:Q38),2)</f>
        <v>19645.8</v>
      </c>
      <c r="AE40" s="2">
        <f>ROUND(SUMIF(AA28:AA38,"=42184655",R28:R38),2)</f>
        <v>9808.81</v>
      </c>
      <c r="AF40" s="2">
        <f>ROUND(SUMIF(AA28:AA38,"=42184655",S28:S38),2)</f>
        <v>2085.67</v>
      </c>
      <c r="AG40" s="2">
        <f>ROUND(SUMIF(AA28:AA38,"=42184655",T28:T38),2)</f>
        <v>0</v>
      </c>
      <c r="AH40" s="2">
        <f>SUMIF(AA28:AA38,"=42184655",U28:U38)</f>
        <v>10.3493075</v>
      </c>
      <c r="AI40" s="2">
        <f>SUMIF(AA28:AA38,"=42184655",V28:V38)</f>
        <v>0</v>
      </c>
      <c r="AJ40" s="2">
        <f>ROUND(SUMIF(AA28:AA38,"=42184655",W28:W38),2)</f>
        <v>0</v>
      </c>
      <c r="AK40" s="2">
        <f>ROUND(SUMIF(AA28:AA38,"=42184655",X28:X38),2)</f>
        <v>1459.98</v>
      </c>
      <c r="AL40" s="2">
        <f>ROUND(SUMIF(AA28:AA38,"=42184655",Y28:Y38),2)</f>
        <v>208.57</v>
      </c>
      <c r="AM40" s="2"/>
      <c r="AN40" s="2"/>
      <c r="AO40" s="2">
        <f t="shared" ref="AO40:BC40" si="62">ROUND(BX40,2)</f>
        <v>0</v>
      </c>
      <c r="AP40" s="2">
        <f t="shared" si="62"/>
        <v>0</v>
      </c>
      <c r="AQ40" s="2">
        <f t="shared" si="62"/>
        <v>0</v>
      </c>
      <c r="AR40" s="2">
        <f t="shared" si="62"/>
        <v>59887.45</v>
      </c>
      <c r="AS40" s="2">
        <f t="shared" si="62"/>
        <v>2211.62</v>
      </c>
      <c r="AT40" s="2">
        <f t="shared" si="62"/>
        <v>0</v>
      </c>
      <c r="AU40" s="2">
        <f t="shared" si="62"/>
        <v>57675.83</v>
      </c>
      <c r="AV40" s="2">
        <f t="shared" si="62"/>
        <v>33935.910000000003</v>
      </c>
      <c r="AW40" s="2">
        <f t="shared" si="62"/>
        <v>33935.910000000003</v>
      </c>
      <c r="AX40" s="2">
        <f t="shared" si="62"/>
        <v>0</v>
      </c>
      <c r="AY40" s="2">
        <f t="shared" si="62"/>
        <v>33935.910000000003</v>
      </c>
      <c r="AZ40" s="2">
        <f t="shared" si="62"/>
        <v>0</v>
      </c>
      <c r="BA40" s="2">
        <f t="shared" si="62"/>
        <v>0</v>
      </c>
      <c r="BB40" s="2">
        <f t="shared" si="62"/>
        <v>0</v>
      </c>
      <c r="BC40" s="2">
        <f t="shared" si="62"/>
        <v>0</v>
      </c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>
        <f>ROUND(SUMIF(AA28:AA38,"=42184655",FQ28:FQ38),2)</f>
        <v>0</v>
      </c>
      <c r="BY40" s="2">
        <f>ROUND(SUMIF(AA28:AA38,"=42184655",FR28:FR38),2)</f>
        <v>0</v>
      </c>
      <c r="BZ40" s="2">
        <f>ROUND(SUMIF(AA28:AA38,"=42184655",GL28:GL38),2)</f>
        <v>0</v>
      </c>
      <c r="CA40" s="2">
        <f>ROUND(SUMIF(AA28:AA38,"=42184655",GM28:GM38),2)</f>
        <v>59887.45</v>
      </c>
      <c r="CB40" s="2">
        <f>ROUND(SUMIF(AA28:AA38,"=42184655",GN28:GN38),2)</f>
        <v>2211.62</v>
      </c>
      <c r="CC40" s="2">
        <f>ROUND(SUMIF(AA28:AA38,"=42184655",GO28:GO38),2)</f>
        <v>0</v>
      </c>
      <c r="CD40" s="2">
        <f>ROUND(SUMIF(AA28:AA38,"=42184655",GP28:GP38),2)</f>
        <v>57675.83</v>
      </c>
      <c r="CE40" s="2">
        <f>AC40-BX40</f>
        <v>33935.910000000003</v>
      </c>
      <c r="CF40" s="2">
        <f>AC40-BY40</f>
        <v>33935.910000000003</v>
      </c>
      <c r="CG40" s="2">
        <f>BX40-BZ40</f>
        <v>0</v>
      </c>
      <c r="CH40" s="2">
        <f>AC40-BX40-BY40+BZ40</f>
        <v>33935.910000000003</v>
      </c>
      <c r="CI40" s="2">
        <f>BY40-BZ40</f>
        <v>0</v>
      </c>
      <c r="CJ40" s="2">
        <f>ROUND(SUMIF(AA28:AA38,"=42184655",GX28:GX38),2)</f>
        <v>0</v>
      </c>
      <c r="CK40" s="2">
        <f>ROUND(SUMIF(AA28:AA38,"=42184655",GY28:GY38),2)</f>
        <v>0</v>
      </c>
      <c r="CL40" s="2">
        <f>ROUND(SUMIF(AA28:AA38,"=42184655",GZ28:GZ38),2)</f>
        <v>0</v>
      </c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>
        <v>0</v>
      </c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201</v>
      </c>
      <c r="F42" s="4">
        <f>ROUND(Source!O40,O42)</f>
        <v>55667.38</v>
      </c>
      <c r="G42" s="4" t="s">
        <v>71</v>
      </c>
      <c r="H42" s="4" t="s">
        <v>72</v>
      </c>
      <c r="I42" s="4"/>
      <c r="J42" s="4"/>
      <c r="K42" s="4">
        <v>201</v>
      </c>
      <c r="L42" s="4">
        <v>1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202</v>
      </c>
      <c r="F43" s="4">
        <f>ROUND(Source!P40,O43)</f>
        <v>33935.910000000003</v>
      </c>
      <c r="G43" s="4" t="s">
        <v>73</v>
      </c>
      <c r="H43" s="4" t="s">
        <v>74</v>
      </c>
      <c r="I43" s="4"/>
      <c r="J43" s="4"/>
      <c r="K43" s="4">
        <v>202</v>
      </c>
      <c r="L43" s="4">
        <v>2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222</v>
      </c>
      <c r="F44" s="4">
        <f>ROUND(Source!AO40,O44)</f>
        <v>0</v>
      </c>
      <c r="G44" s="4" t="s">
        <v>75</v>
      </c>
      <c r="H44" s="4" t="s">
        <v>76</v>
      </c>
      <c r="I44" s="4"/>
      <c r="J44" s="4"/>
      <c r="K44" s="4">
        <v>222</v>
      </c>
      <c r="L44" s="4">
        <v>3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225</v>
      </c>
      <c r="F45" s="4">
        <f>ROUND(Source!AV40,O45)</f>
        <v>33935.910000000003</v>
      </c>
      <c r="G45" s="4" t="s">
        <v>77</v>
      </c>
      <c r="H45" s="4" t="s">
        <v>78</v>
      </c>
      <c r="I45" s="4"/>
      <c r="J45" s="4"/>
      <c r="K45" s="4">
        <v>225</v>
      </c>
      <c r="L45" s="4">
        <v>4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226</v>
      </c>
      <c r="F46" s="4">
        <f>ROUND(Source!AW40,O46)</f>
        <v>33935.910000000003</v>
      </c>
      <c r="G46" s="4" t="s">
        <v>79</v>
      </c>
      <c r="H46" s="4" t="s">
        <v>80</v>
      </c>
      <c r="I46" s="4"/>
      <c r="J46" s="4"/>
      <c r="K46" s="4">
        <v>226</v>
      </c>
      <c r="L46" s="4">
        <v>5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227</v>
      </c>
      <c r="F47" s="4">
        <f>ROUND(Source!AX40,O47)</f>
        <v>0</v>
      </c>
      <c r="G47" s="4" t="s">
        <v>81</v>
      </c>
      <c r="H47" s="4" t="s">
        <v>82</v>
      </c>
      <c r="I47" s="4"/>
      <c r="J47" s="4"/>
      <c r="K47" s="4">
        <v>227</v>
      </c>
      <c r="L47" s="4">
        <v>6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228</v>
      </c>
      <c r="F48" s="4">
        <f>ROUND(Source!AY40,O48)</f>
        <v>33935.910000000003</v>
      </c>
      <c r="G48" s="4" t="s">
        <v>83</v>
      </c>
      <c r="H48" s="4" t="s">
        <v>84</v>
      </c>
      <c r="I48" s="4"/>
      <c r="J48" s="4"/>
      <c r="K48" s="4">
        <v>228</v>
      </c>
      <c r="L48" s="4">
        <v>7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216</v>
      </c>
      <c r="F49" s="4">
        <f>ROUND(Source!AP40,O49)</f>
        <v>0</v>
      </c>
      <c r="G49" s="4" t="s">
        <v>85</v>
      </c>
      <c r="H49" s="4" t="s">
        <v>86</v>
      </c>
      <c r="I49" s="4"/>
      <c r="J49" s="4"/>
      <c r="K49" s="4">
        <v>216</v>
      </c>
      <c r="L49" s="4">
        <v>8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223</v>
      </c>
      <c r="F50" s="4">
        <f>ROUND(Source!AQ40,O50)</f>
        <v>0</v>
      </c>
      <c r="G50" s="4" t="s">
        <v>87</v>
      </c>
      <c r="H50" s="4" t="s">
        <v>88</v>
      </c>
      <c r="I50" s="4"/>
      <c r="J50" s="4"/>
      <c r="K50" s="4">
        <v>223</v>
      </c>
      <c r="L50" s="4">
        <v>9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229</v>
      </c>
      <c r="F51" s="4">
        <f>ROUND(Source!AZ40,O51)</f>
        <v>0</v>
      </c>
      <c r="G51" s="4" t="s">
        <v>89</v>
      </c>
      <c r="H51" s="4" t="s">
        <v>90</v>
      </c>
      <c r="I51" s="4"/>
      <c r="J51" s="4"/>
      <c r="K51" s="4">
        <v>229</v>
      </c>
      <c r="L51" s="4">
        <v>10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203</v>
      </c>
      <c r="F52" s="4">
        <f>ROUND(Source!Q40,O52)</f>
        <v>19645.8</v>
      </c>
      <c r="G52" s="4" t="s">
        <v>91</v>
      </c>
      <c r="H52" s="4" t="s">
        <v>92</v>
      </c>
      <c r="I52" s="4"/>
      <c r="J52" s="4"/>
      <c r="K52" s="4">
        <v>203</v>
      </c>
      <c r="L52" s="4">
        <v>11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231</v>
      </c>
      <c r="F53" s="4">
        <f>ROUND(Source!BB40,O53)</f>
        <v>0</v>
      </c>
      <c r="G53" s="4" t="s">
        <v>93</v>
      </c>
      <c r="H53" s="4" t="s">
        <v>94</v>
      </c>
      <c r="I53" s="4"/>
      <c r="J53" s="4"/>
      <c r="K53" s="4">
        <v>231</v>
      </c>
      <c r="L53" s="4">
        <v>12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204</v>
      </c>
      <c r="F54" s="4">
        <f>ROUND(Source!R40,O54)</f>
        <v>9808.81</v>
      </c>
      <c r="G54" s="4" t="s">
        <v>95</v>
      </c>
      <c r="H54" s="4" t="s">
        <v>96</v>
      </c>
      <c r="I54" s="4"/>
      <c r="J54" s="4"/>
      <c r="K54" s="4">
        <v>204</v>
      </c>
      <c r="L54" s="4">
        <v>13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205</v>
      </c>
      <c r="F55" s="4">
        <f>ROUND(Source!S40,O55)</f>
        <v>2085.67</v>
      </c>
      <c r="G55" s="4" t="s">
        <v>97</v>
      </c>
      <c r="H55" s="4" t="s">
        <v>98</v>
      </c>
      <c r="I55" s="4"/>
      <c r="J55" s="4"/>
      <c r="K55" s="4">
        <v>205</v>
      </c>
      <c r="L55" s="4">
        <v>14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232</v>
      </c>
      <c r="F56" s="4">
        <f>ROUND(Source!BC40,O56)</f>
        <v>0</v>
      </c>
      <c r="G56" s="4" t="s">
        <v>99</v>
      </c>
      <c r="H56" s="4" t="s">
        <v>100</v>
      </c>
      <c r="I56" s="4"/>
      <c r="J56" s="4"/>
      <c r="K56" s="4">
        <v>232</v>
      </c>
      <c r="L56" s="4">
        <v>15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214</v>
      </c>
      <c r="F57" s="4">
        <f>ROUND(Source!AS40,O57)</f>
        <v>2211.62</v>
      </c>
      <c r="G57" s="4" t="s">
        <v>101</v>
      </c>
      <c r="H57" s="4" t="s">
        <v>102</v>
      </c>
      <c r="I57" s="4"/>
      <c r="J57" s="4"/>
      <c r="K57" s="4">
        <v>214</v>
      </c>
      <c r="L57" s="4">
        <v>16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215</v>
      </c>
      <c r="F58" s="4">
        <f>ROUND(Source!AT40,O58)</f>
        <v>0</v>
      </c>
      <c r="G58" s="4" t="s">
        <v>103</v>
      </c>
      <c r="H58" s="4" t="s">
        <v>104</v>
      </c>
      <c r="I58" s="4"/>
      <c r="J58" s="4"/>
      <c r="K58" s="4">
        <v>215</v>
      </c>
      <c r="L58" s="4">
        <v>17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217</v>
      </c>
      <c r="F59" s="4">
        <f>ROUND(Source!AU40,O59)</f>
        <v>57675.83</v>
      </c>
      <c r="G59" s="4" t="s">
        <v>105</v>
      </c>
      <c r="H59" s="4" t="s">
        <v>106</v>
      </c>
      <c r="I59" s="4"/>
      <c r="J59" s="4"/>
      <c r="K59" s="4">
        <v>217</v>
      </c>
      <c r="L59" s="4">
        <v>18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230</v>
      </c>
      <c r="F60" s="4">
        <f>ROUND(Source!BA40,O60)</f>
        <v>0</v>
      </c>
      <c r="G60" s="4" t="s">
        <v>107</v>
      </c>
      <c r="H60" s="4" t="s">
        <v>108</v>
      </c>
      <c r="I60" s="4"/>
      <c r="J60" s="4"/>
      <c r="K60" s="4">
        <v>230</v>
      </c>
      <c r="L60" s="4">
        <v>19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206</v>
      </c>
      <c r="F61" s="4">
        <f>ROUND(Source!T40,O61)</f>
        <v>0</v>
      </c>
      <c r="G61" s="4" t="s">
        <v>109</v>
      </c>
      <c r="H61" s="4" t="s">
        <v>110</v>
      </c>
      <c r="I61" s="4"/>
      <c r="J61" s="4"/>
      <c r="K61" s="4">
        <v>206</v>
      </c>
      <c r="L61" s="4">
        <v>20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207</v>
      </c>
      <c r="F62" s="4">
        <f>Source!U40</f>
        <v>10.3493075</v>
      </c>
      <c r="G62" s="4" t="s">
        <v>111</v>
      </c>
      <c r="H62" s="4" t="s">
        <v>112</v>
      </c>
      <c r="I62" s="4"/>
      <c r="J62" s="4"/>
      <c r="K62" s="4">
        <v>207</v>
      </c>
      <c r="L62" s="4">
        <v>21</v>
      </c>
      <c r="M62" s="4">
        <v>3</v>
      </c>
      <c r="N62" s="4" t="s">
        <v>3</v>
      </c>
      <c r="O62" s="4">
        <v>-1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208</v>
      </c>
      <c r="F63" s="4">
        <f>Source!V40</f>
        <v>0</v>
      </c>
      <c r="G63" s="4" t="s">
        <v>113</v>
      </c>
      <c r="H63" s="4" t="s">
        <v>114</v>
      </c>
      <c r="I63" s="4"/>
      <c r="J63" s="4"/>
      <c r="K63" s="4">
        <v>208</v>
      </c>
      <c r="L63" s="4">
        <v>22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209</v>
      </c>
      <c r="F64" s="4">
        <f>ROUND(Source!W40,O64)</f>
        <v>0</v>
      </c>
      <c r="G64" s="4" t="s">
        <v>115</v>
      </c>
      <c r="H64" s="4" t="s">
        <v>116</v>
      </c>
      <c r="I64" s="4"/>
      <c r="J64" s="4"/>
      <c r="K64" s="4">
        <v>209</v>
      </c>
      <c r="L64" s="4">
        <v>23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210</v>
      </c>
      <c r="F65" s="4">
        <f>ROUND(Source!X40,O65)</f>
        <v>1459.98</v>
      </c>
      <c r="G65" s="4" t="s">
        <v>117</v>
      </c>
      <c r="H65" s="4" t="s">
        <v>118</v>
      </c>
      <c r="I65" s="4"/>
      <c r="J65" s="4"/>
      <c r="K65" s="4">
        <v>210</v>
      </c>
      <c r="L65" s="4">
        <v>24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211</v>
      </c>
      <c r="F66" s="4">
        <f>ROUND(Source!Y40,O66)</f>
        <v>208.57</v>
      </c>
      <c r="G66" s="4" t="s">
        <v>119</v>
      </c>
      <c r="H66" s="4" t="s">
        <v>120</v>
      </c>
      <c r="I66" s="4"/>
      <c r="J66" s="4"/>
      <c r="K66" s="4">
        <v>211</v>
      </c>
      <c r="L66" s="4">
        <v>25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224</v>
      </c>
      <c r="F67" s="4">
        <f>ROUND(Source!AR40,O67)</f>
        <v>59887.45</v>
      </c>
      <c r="G67" s="4" t="s">
        <v>121</v>
      </c>
      <c r="H67" s="4" t="s">
        <v>122</v>
      </c>
      <c r="I67" s="4"/>
      <c r="J67" s="4"/>
      <c r="K67" s="4">
        <v>224</v>
      </c>
      <c r="L67" s="4">
        <v>26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1</v>
      </c>
      <c r="C68" s="4">
        <v>0</v>
      </c>
      <c r="D68" s="4">
        <v>2</v>
      </c>
      <c r="E68" s="4">
        <v>0</v>
      </c>
      <c r="F68" s="4">
        <f>ROUND(F67,O68)</f>
        <v>59887.45</v>
      </c>
      <c r="G68" s="4" t="s">
        <v>19</v>
      </c>
      <c r="H68" s="4" t="s">
        <v>123</v>
      </c>
      <c r="I68" s="4"/>
      <c r="J68" s="4"/>
      <c r="K68" s="4">
        <v>212</v>
      </c>
      <c r="L68" s="4">
        <v>27</v>
      </c>
      <c r="M68" s="4">
        <v>0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1</v>
      </c>
      <c r="C69" s="4">
        <v>0</v>
      </c>
      <c r="D69" s="4">
        <v>2</v>
      </c>
      <c r="E69" s="4">
        <v>0</v>
      </c>
      <c r="F69" s="4">
        <f>ROUND(F68*0.2,O69)</f>
        <v>11977.49</v>
      </c>
      <c r="G69" s="4" t="s">
        <v>27</v>
      </c>
      <c r="H69" s="4" t="s">
        <v>124</v>
      </c>
      <c r="I69" s="4"/>
      <c r="J69" s="4"/>
      <c r="K69" s="4">
        <v>212</v>
      </c>
      <c r="L69" s="4">
        <v>28</v>
      </c>
      <c r="M69" s="4">
        <v>0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 x14ac:dyDescent="0.2">
      <c r="A70" s="4">
        <v>50</v>
      </c>
      <c r="B70" s="4">
        <v>1</v>
      </c>
      <c r="C70" s="4">
        <v>0</v>
      </c>
      <c r="D70" s="4">
        <v>2</v>
      </c>
      <c r="E70" s="4">
        <v>0</v>
      </c>
      <c r="F70" s="4">
        <f>ROUND(F68+F69,O70)</f>
        <v>71864.94</v>
      </c>
      <c r="G70" s="4" t="s">
        <v>31</v>
      </c>
      <c r="H70" s="4" t="s">
        <v>121</v>
      </c>
      <c r="I70" s="4"/>
      <c r="J70" s="4"/>
      <c r="K70" s="4">
        <v>212</v>
      </c>
      <c r="L70" s="4">
        <v>29</v>
      </c>
      <c r="M70" s="4">
        <v>0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2" spans="1:245" x14ac:dyDescent="0.2">
      <c r="A72" s="1">
        <v>4</v>
      </c>
      <c r="B72" s="1">
        <v>1</v>
      </c>
      <c r="C72" s="1"/>
      <c r="D72" s="1">
        <f>ROW(A88)</f>
        <v>88</v>
      </c>
      <c r="E72" s="1"/>
      <c r="F72" s="1" t="s">
        <v>17</v>
      </c>
      <c r="G72" s="1" t="s">
        <v>527</v>
      </c>
      <c r="H72" s="1" t="s">
        <v>3</v>
      </c>
      <c r="I72" s="1">
        <v>0</v>
      </c>
      <c r="J72" s="1"/>
      <c r="K72" s="1">
        <v>-1</v>
      </c>
      <c r="L72" s="1"/>
      <c r="M72" s="1"/>
      <c r="N72" s="1"/>
      <c r="O72" s="1"/>
      <c r="P72" s="1"/>
      <c r="Q72" s="1"/>
      <c r="R72" s="1"/>
      <c r="S72" s="1"/>
      <c r="T72" s="1"/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45" x14ac:dyDescent="0.2">
      <c r="A74" s="2">
        <v>52</v>
      </c>
      <c r="B74" s="2">
        <f t="shared" ref="B74:G74" si="63">B88</f>
        <v>1</v>
      </c>
      <c r="C74" s="2">
        <f t="shared" si="63"/>
        <v>4</v>
      </c>
      <c r="D74" s="2">
        <f t="shared" si="63"/>
        <v>72</v>
      </c>
      <c r="E74" s="2">
        <f t="shared" si="63"/>
        <v>0</v>
      </c>
      <c r="F74" s="2" t="str">
        <f t="shared" si="63"/>
        <v>Новый раздел</v>
      </c>
      <c r="G74" s="2" t="str">
        <f t="shared" si="63"/>
        <v xml:space="preserve">Раздел 10.1 . Устройство новых оснований площадок (детские, спортивные, воркаут) АБП </v>
      </c>
      <c r="H74" s="2"/>
      <c r="I74" s="2"/>
      <c r="J74" s="2"/>
      <c r="K74" s="2"/>
      <c r="L74" s="2"/>
      <c r="M74" s="2"/>
      <c r="N74" s="2"/>
      <c r="O74" s="2">
        <f t="shared" ref="O74:AT74" si="64">O88</f>
        <v>4232632.16</v>
      </c>
      <c r="P74" s="2">
        <f t="shared" si="64"/>
        <v>2456354.2000000002</v>
      </c>
      <c r="Q74" s="2">
        <f t="shared" si="64"/>
        <v>1615987.14</v>
      </c>
      <c r="R74" s="2">
        <f t="shared" si="64"/>
        <v>814386.95</v>
      </c>
      <c r="S74" s="2">
        <f t="shared" si="64"/>
        <v>160290.82</v>
      </c>
      <c r="T74" s="2">
        <f t="shared" si="64"/>
        <v>0</v>
      </c>
      <c r="U74" s="2">
        <f t="shared" si="64"/>
        <v>802.04266080000002</v>
      </c>
      <c r="V74" s="2">
        <f t="shared" si="64"/>
        <v>0</v>
      </c>
      <c r="W74" s="2">
        <f t="shared" si="64"/>
        <v>0</v>
      </c>
      <c r="X74" s="2">
        <f t="shared" si="64"/>
        <v>112203.57</v>
      </c>
      <c r="Y74" s="2">
        <f t="shared" si="64"/>
        <v>16029.08</v>
      </c>
      <c r="Z74" s="2">
        <f t="shared" si="64"/>
        <v>0</v>
      </c>
      <c r="AA74" s="2">
        <f t="shared" si="64"/>
        <v>0</v>
      </c>
      <c r="AB74" s="2">
        <f t="shared" si="64"/>
        <v>4232632.16</v>
      </c>
      <c r="AC74" s="2">
        <f t="shared" si="64"/>
        <v>2456354.2000000002</v>
      </c>
      <c r="AD74" s="2">
        <f t="shared" si="64"/>
        <v>1615987.14</v>
      </c>
      <c r="AE74" s="2">
        <f t="shared" si="64"/>
        <v>814386.95</v>
      </c>
      <c r="AF74" s="2">
        <f t="shared" si="64"/>
        <v>160290.82</v>
      </c>
      <c r="AG74" s="2">
        <f t="shared" si="64"/>
        <v>0</v>
      </c>
      <c r="AH74" s="2">
        <f t="shared" si="64"/>
        <v>802.04266080000002</v>
      </c>
      <c r="AI74" s="2">
        <f t="shared" si="64"/>
        <v>0</v>
      </c>
      <c r="AJ74" s="2">
        <f t="shared" si="64"/>
        <v>0</v>
      </c>
      <c r="AK74" s="2">
        <f t="shared" si="64"/>
        <v>112203.57</v>
      </c>
      <c r="AL74" s="2">
        <f t="shared" si="64"/>
        <v>16029.08</v>
      </c>
      <c r="AM74" s="2">
        <f t="shared" si="64"/>
        <v>0</v>
      </c>
      <c r="AN74" s="2">
        <f t="shared" si="64"/>
        <v>0</v>
      </c>
      <c r="AO74" s="2">
        <f t="shared" si="64"/>
        <v>0</v>
      </c>
      <c r="AP74" s="2">
        <f t="shared" si="64"/>
        <v>0</v>
      </c>
      <c r="AQ74" s="2">
        <f t="shared" si="64"/>
        <v>0</v>
      </c>
      <c r="AR74" s="2">
        <f t="shared" si="64"/>
        <v>4549006.22</v>
      </c>
      <c r="AS74" s="2">
        <f t="shared" si="64"/>
        <v>190139.91</v>
      </c>
      <c r="AT74" s="2">
        <f t="shared" si="64"/>
        <v>0</v>
      </c>
      <c r="AU74" s="2">
        <f t="shared" ref="AU74:BZ74" si="65">AU88</f>
        <v>4358866.3099999996</v>
      </c>
      <c r="AV74" s="2">
        <f t="shared" si="65"/>
        <v>2456354.2000000002</v>
      </c>
      <c r="AW74" s="2">
        <f t="shared" si="65"/>
        <v>2456354.2000000002</v>
      </c>
      <c r="AX74" s="2">
        <f t="shared" si="65"/>
        <v>0</v>
      </c>
      <c r="AY74" s="2">
        <f t="shared" si="65"/>
        <v>2456354.2000000002</v>
      </c>
      <c r="AZ74" s="2">
        <f t="shared" si="65"/>
        <v>0</v>
      </c>
      <c r="BA74" s="2">
        <f t="shared" si="65"/>
        <v>0</v>
      </c>
      <c r="BB74" s="2">
        <f t="shared" si="65"/>
        <v>0</v>
      </c>
      <c r="BC74" s="2">
        <f t="shared" si="65"/>
        <v>0</v>
      </c>
      <c r="BD74" s="2">
        <f t="shared" si="65"/>
        <v>0</v>
      </c>
      <c r="BE74" s="2">
        <f t="shared" si="65"/>
        <v>0</v>
      </c>
      <c r="BF74" s="2">
        <f t="shared" si="65"/>
        <v>0</v>
      </c>
      <c r="BG74" s="2">
        <f t="shared" si="65"/>
        <v>0</v>
      </c>
      <c r="BH74" s="2">
        <f t="shared" si="65"/>
        <v>0</v>
      </c>
      <c r="BI74" s="2">
        <f t="shared" si="65"/>
        <v>0</v>
      </c>
      <c r="BJ74" s="2">
        <f t="shared" si="65"/>
        <v>0</v>
      </c>
      <c r="BK74" s="2">
        <f t="shared" si="65"/>
        <v>0</v>
      </c>
      <c r="BL74" s="2">
        <f t="shared" si="65"/>
        <v>0</v>
      </c>
      <c r="BM74" s="2">
        <f t="shared" si="65"/>
        <v>0</v>
      </c>
      <c r="BN74" s="2">
        <f t="shared" si="65"/>
        <v>0</v>
      </c>
      <c r="BO74" s="2">
        <f t="shared" si="65"/>
        <v>0</v>
      </c>
      <c r="BP74" s="2">
        <f t="shared" si="65"/>
        <v>0</v>
      </c>
      <c r="BQ74" s="2">
        <f t="shared" si="65"/>
        <v>0</v>
      </c>
      <c r="BR74" s="2">
        <f t="shared" si="65"/>
        <v>0</v>
      </c>
      <c r="BS74" s="2">
        <f t="shared" si="65"/>
        <v>0</v>
      </c>
      <c r="BT74" s="2">
        <f t="shared" si="65"/>
        <v>0</v>
      </c>
      <c r="BU74" s="2">
        <f t="shared" si="65"/>
        <v>0</v>
      </c>
      <c r="BV74" s="2">
        <f t="shared" si="65"/>
        <v>0</v>
      </c>
      <c r="BW74" s="2">
        <f t="shared" si="65"/>
        <v>0</v>
      </c>
      <c r="BX74" s="2">
        <f t="shared" si="65"/>
        <v>0</v>
      </c>
      <c r="BY74" s="2">
        <f t="shared" si="65"/>
        <v>0</v>
      </c>
      <c r="BZ74" s="2">
        <f t="shared" si="65"/>
        <v>0</v>
      </c>
      <c r="CA74" s="2">
        <f t="shared" ref="CA74:DF74" si="66">CA88</f>
        <v>4549006.22</v>
      </c>
      <c r="CB74" s="2">
        <f t="shared" si="66"/>
        <v>190139.91</v>
      </c>
      <c r="CC74" s="2">
        <f t="shared" si="66"/>
        <v>0</v>
      </c>
      <c r="CD74" s="2">
        <f t="shared" si="66"/>
        <v>4358866.3099999996</v>
      </c>
      <c r="CE74" s="2">
        <f t="shared" si="66"/>
        <v>2456354.2000000002</v>
      </c>
      <c r="CF74" s="2">
        <f t="shared" si="66"/>
        <v>2456354.2000000002</v>
      </c>
      <c r="CG74" s="2">
        <f t="shared" si="66"/>
        <v>0</v>
      </c>
      <c r="CH74" s="2">
        <f t="shared" si="66"/>
        <v>2456354.2000000002</v>
      </c>
      <c r="CI74" s="2">
        <f t="shared" si="66"/>
        <v>0</v>
      </c>
      <c r="CJ74" s="2">
        <f t="shared" si="66"/>
        <v>0</v>
      </c>
      <c r="CK74" s="2">
        <f t="shared" si="66"/>
        <v>0</v>
      </c>
      <c r="CL74" s="2">
        <f t="shared" si="66"/>
        <v>0</v>
      </c>
      <c r="CM74" s="2">
        <f t="shared" si="66"/>
        <v>0</v>
      </c>
      <c r="CN74" s="2">
        <f t="shared" si="66"/>
        <v>0</v>
      </c>
      <c r="CO74" s="2">
        <f t="shared" si="66"/>
        <v>0</v>
      </c>
      <c r="CP74" s="2">
        <f t="shared" si="66"/>
        <v>0</v>
      </c>
      <c r="CQ74" s="2">
        <f t="shared" si="66"/>
        <v>0</v>
      </c>
      <c r="CR74" s="2">
        <f t="shared" si="66"/>
        <v>0</v>
      </c>
      <c r="CS74" s="2">
        <f t="shared" si="66"/>
        <v>0</v>
      </c>
      <c r="CT74" s="2">
        <f t="shared" si="66"/>
        <v>0</v>
      </c>
      <c r="CU74" s="2">
        <f t="shared" si="66"/>
        <v>0</v>
      </c>
      <c r="CV74" s="2">
        <f t="shared" si="66"/>
        <v>0</v>
      </c>
      <c r="CW74" s="2">
        <f t="shared" si="66"/>
        <v>0</v>
      </c>
      <c r="CX74" s="2">
        <f t="shared" si="66"/>
        <v>0</v>
      </c>
      <c r="CY74" s="2">
        <f t="shared" si="66"/>
        <v>0</v>
      </c>
      <c r="CZ74" s="2">
        <f t="shared" si="66"/>
        <v>0</v>
      </c>
      <c r="DA74" s="2">
        <f t="shared" si="66"/>
        <v>0</v>
      </c>
      <c r="DB74" s="2">
        <f t="shared" si="66"/>
        <v>0</v>
      </c>
      <c r="DC74" s="2">
        <f t="shared" si="66"/>
        <v>0</v>
      </c>
      <c r="DD74" s="2">
        <f t="shared" si="66"/>
        <v>0</v>
      </c>
      <c r="DE74" s="2">
        <f t="shared" si="66"/>
        <v>0</v>
      </c>
      <c r="DF74" s="2">
        <f t="shared" si="66"/>
        <v>0</v>
      </c>
      <c r="DG74" s="3">
        <f t="shared" ref="DG74:EL74" si="67">DG88</f>
        <v>0</v>
      </c>
      <c r="DH74" s="3">
        <f t="shared" si="67"/>
        <v>0</v>
      </c>
      <c r="DI74" s="3">
        <f t="shared" si="67"/>
        <v>0</v>
      </c>
      <c r="DJ74" s="3">
        <f t="shared" si="67"/>
        <v>0</v>
      </c>
      <c r="DK74" s="3">
        <f t="shared" si="67"/>
        <v>0</v>
      </c>
      <c r="DL74" s="3">
        <f t="shared" si="67"/>
        <v>0</v>
      </c>
      <c r="DM74" s="3">
        <f t="shared" si="67"/>
        <v>0</v>
      </c>
      <c r="DN74" s="3">
        <f t="shared" si="67"/>
        <v>0</v>
      </c>
      <c r="DO74" s="3">
        <f t="shared" si="67"/>
        <v>0</v>
      </c>
      <c r="DP74" s="3">
        <f t="shared" si="67"/>
        <v>0</v>
      </c>
      <c r="DQ74" s="3">
        <f t="shared" si="67"/>
        <v>0</v>
      </c>
      <c r="DR74" s="3">
        <f t="shared" si="67"/>
        <v>0</v>
      </c>
      <c r="DS74" s="3">
        <f t="shared" si="67"/>
        <v>0</v>
      </c>
      <c r="DT74" s="3">
        <f t="shared" si="67"/>
        <v>0</v>
      </c>
      <c r="DU74" s="3">
        <f t="shared" si="67"/>
        <v>0</v>
      </c>
      <c r="DV74" s="3">
        <f t="shared" si="67"/>
        <v>0</v>
      </c>
      <c r="DW74" s="3">
        <f t="shared" si="67"/>
        <v>0</v>
      </c>
      <c r="DX74" s="3">
        <f t="shared" si="67"/>
        <v>0</v>
      </c>
      <c r="DY74" s="3">
        <f t="shared" si="67"/>
        <v>0</v>
      </c>
      <c r="DZ74" s="3">
        <f t="shared" si="67"/>
        <v>0</v>
      </c>
      <c r="EA74" s="3">
        <f t="shared" si="67"/>
        <v>0</v>
      </c>
      <c r="EB74" s="3">
        <f t="shared" si="67"/>
        <v>0</v>
      </c>
      <c r="EC74" s="3">
        <f t="shared" si="67"/>
        <v>0</v>
      </c>
      <c r="ED74" s="3">
        <f t="shared" si="67"/>
        <v>0</v>
      </c>
      <c r="EE74" s="3">
        <f t="shared" si="67"/>
        <v>0</v>
      </c>
      <c r="EF74" s="3">
        <f t="shared" si="67"/>
        <v>0</v>
      </c>
      <c r="EG74" s="3">
        <f t="shared" si="67"/>
        <v>0</v>
      </c>
      <c r="EH74" s="3">
        <f t="shared" si="67"/>
        <v>0</v>
      </c>
      <c r="EI74" s="3">
        <f t="shared" si="67"/>
        <v>0</v>
      </c>
      <c r="EJ74" s="3">
        <f t="shared" si="67"/>
        <v>0</v>
      </c>
      <c r="EK74" s="3">
        <f t="shared" si="67"/>
        <v>0</v>
      </c>
      <c r="EL74" s="3">
        <f t="shared" si="67"/>
        <v>0</v>
      </c>
      <c r="EM74" s="3">
        <f t="shared" ref="EM74:FR74" si="68">EM88</f>
        <v>0</v>
      </c>
      <c r="EN74" s="3">
        <f t="shared" si="68"/>
        <v>0</v>
      </c>
      <c r="EO74" s="3">
        <f t="shared" si="68"/>
        <v>0</v>
      </c>
      <c r="EP74" s="3">
        <f t="shared" si="68"/>
        <v>0</v>
      </c>
      <c r="EQ74" s="3">
        <f t="shared" si="68"/>
        <v>0</v>
      </c>
      <c r="ER74" s="3">
        <f t="shared" si="68"/>
        <v>0</v>
      </c>
      <c r="ES74" s="3">
        <f t="shared" si="68"/>
        <v>0</v>
      </c>
      <c r="ET74" s="3">
        <f t="shared" si="68"/>
        <v>0</v>
      </c>
      <c r="EU74" s="3">
        <f t="shared" si="68"/>
        <v>0</v>
      </c>
      <c r="EV74" s="3">
        <f t="shared" si="68"/>
        <v>0</v>
      </c>
      <c r="EW74" s="3">
        <f t="shared" si="68"/>
        <v>0</v>
      </c>
      <c r="EX74" s="3">
        <f t="shared" si="68"/>
        <v>0</v>
      </c>
      <c r="EY74" s="3">
        <f t="shared" si="68"/>
        <v>0</v>
      </c>
      <c r="EZ74" s="3">
        <f t="shared" si="68"/>
        <v>0</v>
      </c>
      <c r="FA74" s="3">
        <f t="shared" si="68"/>
        <v>0</v>
      </c>
      <c r="FB74" s="3">
        <f t="shared" si="68"/>
        <v>0</v>
      </c>
      <c r="FC74" s="3">
        <f t="shared" si="68"/>
        <v>0</v>
      </c>
      <c r="FD74" s="3">
        <f t="shared" si="68"/>
        <v>0</v>
      </c>
      <c r="FE74" s="3">
        <f t="shared" si="68"/>
        <v>0</v>
      </c>
      <c r="FF74" s="3">
        <f t="shared" si="68"/>
        <v>0</v>
      </c>
      <c r="FG74" s="3">
        <f t="shared" si="68"/>
        <v>0</v>
      </c>
      <c r="FH74" s="3">
        <f t="shared" si="68"/>
        <v>0</v>
      </c>
      <c r="FI74" s="3">
        <f t="shared" si="68"/>
        <v>0</v>
      </c>
      <c r="FJ74" s="3">
        <f t="shared" si="68"/>
        <v>0</v>
      </c>
      <c r="FK74" s="3">
        <f t="shared" si="68"/>
        <v>0</v>
      </c>
      <c r="FL74" s="3">
        <f t="shared" si="68"/>
        <v>0</v>
      </c>
      <c r="FM74" s="3">
        <f t="shared" si="68"/>
        <v>0</v>
      </c>
      <c r="FN74" s="3">
        <f t="shared" si="68"/>
        <v>0</v>
      </c>
      <c r="FO74" s="3">
        <f t="shared" si="68"/>
        <v>0</v>
      </c>
      <c r="FP74" s="3">
        <f t="shared" si="68"/>
        <v>0</v>
      </c>
      <c r="FQ74" s="3">
        <f t="shared" si="68"/>
        <v>0</v>
      </c>
      <c r="FR74" s="3">
        <f t="shared" si="68"/>
        <v>0</v>
      </c>
      <c r="FS74" s="3">
        <f t="shared" ref="FS74:GX74" si="69">FS88</f>
        <v>0</v>
      </c>
      <c r="FT74" s="3">
        <f t="shared" si="69"/>
        <v>0</v>
      </c>
      <c r="FU74" s="3">
        <f t="shared" si="69"/>
        <v>0</v>
      </c>
      <c r="FV74" s="3">
        <f t="shared" si="69"/>
        <v>0</v>
      </c>
      <c r="FW74" s="3">
        <f t="shared" si="69"/>
        <v>0</v>
      </c>
      <c r="FX74" s="3">
        <f t="shared" si="69"/>
        <v>0</v>
      </c>
      <c r="FY74" s="3">
        <f t="shared" si="69"/>
        <v>0</v>
      </c>
      <c r="FZ74" s="3">
        <f t="shared" si="69"/>
        <v>0</v>
      </c>
      <c r="GA74" s="3">
        <f t="shared" si="69"/>
        <v>0</v>
      </c>
      <c r="GB74" s="3">
        <f t="shared" si="69"/>
        <v>0</v>
      </c>
      <c r="GC74" s="3">
        <f t="shared" si="69"/>
        <v>0</v>
      </c>
      <c r="GD74" s="3">
        <f t="shared" si="69"/>
        <v>0</v>
      </c>
      <c r="GE74" s="3">
        <f t="shared" si="69"/>
        <v>0</v>
      </c>
      <c r="GF74" s="3">
        <f t="shared" si="69"/>
        <v>0</v>
      </c>
      <c r="GG74" s="3">
        <f t="shared" si="69"/>
        <v>0</v>
      </c>
      <c r="GH74" s="3">
        <f t="shared" si="69"/>
        <v>0</v>
      </c>
      <c r="GI74" s="3">
        <f t="shared" si="69"/>
        <v>0</v>
      </c>
      <c r="GJ74" s="3">
        <f t="shared" si="69"/>
        <v>0</v>
      </c>
      <c r="GK74" s="3">
        <f t="shared" si="69"/>
        <v>0</v>
      </c>
      <c r="GL74" s="3">
        <f t="shared" si="69"/>
        <v>0</v>
      </c>
      <c r="GM74" s="3">
        <f t="shared" si="69"/>
        <v>0</v>
      </c>
      <c r="GN74" s="3">
        <f t="shared" si="69"/>
        <v>0</v>
      </c>
      <c r="GO74" s="3">
        <f t="shared" si="69"/>
        <v>0</v>
      </c>
      <c r="GP74" s="3">
        <f t="shared" si="69"/>
        <v>0</v>
      </c>
      <c r="GQ74" s="3">
        <f t="shared" si="69"/>
        <v>0</v>
      </c>
      <c r="GR74" s="3">
        <f t="shared" si="69"/>
        <v>0</v>
      </c>
      <c r="GS74" s="3">
        <f t="shared" si="69"/>
        <v>0</v>
      </c>
      <c r="GT74" s="3">
        <f t="shared" si="69"/>
        <v>0</v>
      </c>
      <c r="GU74" s="3">
        <f t="shared" si="69"/>
        <v>0</v>
      </c>
      <c r="GV74" s="3">
        <f t="shared" si="69"/>
        <v>0</v>
      </c>
      <c r="GW74" s="3">
        <f t="shared" si="69"/>
        <v>0</v>
      </c>
      <c r="GX74" s="3">
        <f t="shared" si="69"/>
        <v>0</v>
      </c>
    </row>
    <row r="76" spans="1:245" x14ac:dyDescent="0.2">
      <c r="A76">
        <v>17</v>
      </c>
      <c r="B76">
        <v>1</v>
      </c>
      <c r="C76">
        <f>ROW(SmtRes!A32)</f>
        <v>32</v>
      </c>
      <c r="D76">
        <f>ROW(EtalonRes!A31)</f>
        <v>31</v>
      </c>
      <c r="E76" t="s">
        <v>125</v>
      </c>
      <c r="F76" t="s">
        <v>20</v>
      </c>
      <c r="G76" t="s">
        <v>21</v>
      </c>
      <c r="H76" t="s">
        <v>22</v>
      </c>
      <c r="I76">
        <f>ROUND((3224*0.42*0.9)/100,9)</f>
        <v>12.186719999999999</v>
      </c>
      <c r="J76">
        <v>0</v>
      </c>
      <c r="O76">
        <f t="shared" ref="O76:O86" si="70">ROUND(CP76,2)</f>
        <v>110489.56</v>
      </c>
      <c r="P76">
        <f t="shared" ref="P76:P86" si="71">ROUND(CQ76*I76,2)</f>
        <v>0</v>
      </c>
      <c r="Q76">
        <f t="shared" ref="Q76:Q86" si="72">ROUND(CR76*I76,2)</f>
        <v>106987.34</v>
      </c>
      <c r="R76">
        <f t="shared" ref="R76:R86" si="73">ROUND(CS76*I76,2)</f>
        <v>41847.730000000003</v>
      </c>
      <c r="S76">
        <f t="shared" ref="S76:S86" si="74">ROUND(CT76*I76,2)</f>
        <v>3502.22</v>
      </c>
      <c r="T76">
        <f t="shared" ref="T76:T86" si="75">ROUND(CU76*I76,2)</f>
        <v>0</v>
      </c>
      <c r="U76">
        <f t="shared" ref="U76:U86" si="76">CV76*I76</f>
        <v>19.376884799999999</v>
      </c>
      <c r="V76">
        <f t="shared" ref="V76:V86" si="77">CW76*I76</f>
        <v>0</v>
      </c>
      <c r="W76">
        <f t="shared" ref="W76:W86" si="78">ROUND(CX76*I76,2)</f>
        <v>0</v>
      </c>
      <c r="X76">
        <f t="shared" ref="X76:X86" si="79">ROUND(CY76,2)</f>
        <v>2451.5500000000002</v>
      </c>
      <c r="Y76">
        <f t="shared" ref="Y76:Y86" si="80">ROUND(CZ76,2)</f>
        <v>350.22</v>
      </c>
      <c r="AA76">
        <v>42184655</v>
      </c>
      <c r="AB76">
        <f t="shared" ref="AB76:AB86" si="81">ROUND((AC76+AD76+AF76),6)</f>
        <v>9066.39</v>
      </c>
      <c r="AC76">
        <f>ROUND((ES76),6)</f>
        <v>0</v>
      </c>
      <c r="AD76">
        <f>ROUND((((ET76)-(EU76))+AE76),6)</f>
        <v>8779.01</v>
      </c>
      <c r="AE76">
        <f t="shared" ref="AE76:AF79" si="82">ROUND((EU76),6)</f>
        <v>3433.88</v>
      </c>
      <c r="AF76">
        <f t="shared" si="82"/>
        <v>287.38</v>
      </c>
      <c r="AG76">
        <f t="shared" ref="AG76:AG86" si="83">ROUND((AP76),6)</f>
        <v>0</v>
      </c>
      <c r="AH76">
        <f t="shared" ref="AH76:AI79" si="84">(EW76)</f>
        <v>1.59</v>
      </c>
      <c r="AI76">
        <f t="shared" si="84"/>
        <v>0</v>
      </c>
      <c r="AJ76">
        <f t="shared" ref="AJ76:AJ86" si="85">(AS76)</f>
        <v>0</v>
      </c>
      <c r="AK76">
        <v>9066.39</v>
      </c>
      <c r="AL76">
        <v>0</v>
      </c>
      <c r="AM76">
        <v>8779.01</v>
      </c>
      <c r="AN76">
        <v>3433.88</v>
      </c>
      <c r="AO76">
        <v>287.38</v>
      </c>
      <c r="AP76">
        <v>0</v>
      </c>
      <c r="AQ76">
        <v>1.59</v>
      </c>
      <c r="AR76">
        <v>0</v>
      </c>
      <c r="AS76">
        <v>0</v>
      </c>
      <c r="AT76">
        <v>70</v>
      </c>
      <c r="AU76">
        <v>10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23</v>
      </c>
      <c r="BM76">
        <v>0</v>
      </c>
      <c r="BN76">
        <v>0</v>
      </c>
      <c r="BO76" t="s">
        <v>3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70</v>
      </c>
      <c r="CA76">
        <v>10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ref="CP76:CP86" si="86">(P76+Q76+S76)</f>
        <v>110489.56</v>
      </c>
      <c r="CQ76">
        <f t="shared" ref="CQ76:CQ86" si="87">(AC76*BC76*AW76)</f>
        <v>0</v>
      </c>
      <c r="CR76">
        <f>((((ET76)*BB76-(EU76)*BS76)+AE76*BS76)*AV76)</f>
        <v>8779.01</v>
      </c>
      <c r="CS76">
        <f t="shared" ref="CS76:CS86" si="88">(AE76*BS76*AV76)</f>
        <v>3433.88</v>
      </c>
      <c r="CT76">
        <f t="shared" ref="CT76:CT86" si="89">(AF76*BA76*AV76)</f>
        <v>287.38</v>
      </c>
      <c r="CU76">
        <f t="shared" ref="CU76:CU86" si="90">AG76</f>
        <v>0</v>
      </c>
      <c r="CV76">
        <f t="shared" ref="CV76:CV86" si="91">(AH76*AV76)</f>
        <v>1.59</v>
      </c>
      <c r="CW76">
        <f t="shared" ref="CW76:CW86" si="92">AI76</f>
        <v>0</v>
      </c>
      <c r="CX76">
        <f t="shared" ref="CX76:CX86" si="93">AJ76</f>
        <v>0</v>
      </c>
      <c r="CY76">
        <f t="shared" ref="CY76:CY86" si="94">((S76*BZ76)/100)</f>
        <v>2451.5540000000001</v>
      </c>
      <c r="CZ76">
        <f t="shared" ref="CZ76:CZ86" si="95">((S76*CA76)/100)</f>
        <v>350.22199999999998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1007</v>
      </c>
      <c r="DV76" t="s">
        <v>22</v>
      </c>
      <c r="DW76" t="s">
        <v>22</v>
      </c>
      <c r="DX76">
        <v>100</v>
      </c>
      <c r="EE76">
        <v>40658659</v>
      </c>
      <c r="EF76">
        <v>1</v>
      </c>
      <c r="EG76" t="s">
        <v>24</v>
      </c>
      <c r="EH76">
        <v>0</v>
      </c>
      <c r="EI76" t="s">
        <v>3</v>
      </c>
      <c r="EJ76">
        <v>4</v>
      </c>
      <c r="EK76">
        <v>0</v>
      </c>
      <c r="EL76" t="s">
        <v>25</v>
      </c>
      <c r="EM76" t="s">
        <v>26</v>
      </c>
      <c r="EO76" t="s">
        <v>3</v>
      </c>
      <c r="EQ76">
        <v>0</v>
      </c>
      <c r="ER76">
        <v>9066.39</v>
      </c>
      <c r="ES76">
        <v>0</v>
      </c>
      <c r="ET76">
        <v>8779.01</v>
      </c>
      <c r="EU76">
        <v>3433.88</v>
      </c>
      <c r="EV76">
        <v>287.38</v>
      </c>
      <c r="EW76">
        <v>1.59</v>
      </c>
      <c r="EX76">
        <v>0</v>
      </c>
      <c r="EY76">
        <v>0</v>
      </c>
      <c r="FQ76">
        <v>0</v>
      </c>
      <c r="FR76">
        <f t="shared" ref="FR76:FR86" si="96">ROUND(IF(AND(BH76=3,BI76=3),P76,0),2)</f>
        <v>0</v>
      </c>
      <c r="FS76">
        <v>0</v>
      </c>
      <c r="FX76">
        <v>70</v>
      </c>
      <c r="FY76">
        <v>10</v>
      </c>
      <c r="GA76" t="s">
        <v>3</v>
      </c>
      <c r="GD76">
        <v>0</v>
      </c>
      <c r="GF76">
        <v>786330748</v>
      </c>
      <c r="GG76">
        <v>2</v>
      </c>
      <c r="GH76">
        <v>1</v>
      </c>
      <c r="GI76">
        <v>-2</v>
      </c>
      <c r="GJ76">
        <v>0</v>
      </c>
      <c r="GK76">
        <f>ROUND(R76*(R12)/100,2)</f>
        <v>45195.55</v>
      </c>
      <c r="GL76">
        <f t="shared" ref="GL76:GL86" si="97">ROUND(IF(AND(BH76=3,BI76=3,FS76&lt;&gt;0),P76,0),2)</f>
        <v>0</v>
      </c>
      <c r="GM76">
        <f>ROUND(O76+X76+Y76+GK76,2)+GX76</f>
        <v>158486.88</v>
      </c>
      <c r="GN76">
        <f>IF(OR(BI76=0,BI76=1),ROUND(O76+X76+Y76+GK76,2),0)</f>
        <v>0</v>
      </c>
      <c r="GO76">
        <f>IF(BI76=2,ROUND(O76+X76+Y76+GK76,2),0)</f>
        <v>0</v>
      </c>
      <c r="GP76">
        <f>IF(BI76=4,ROUND(O76+X76+Y76+GK76,2)+GX76,0)</f>
        <v>158486.88</v>
      </c>
      <c r="GR76">
        <v>0</v>
      </c>
      <c r="GS76">
        <v>3</v>
      </c>
      <c r="GT76">
        <v>0</v>
      </c>
      <c r="GU76" t="s">
        <v>3</v>
      </c>
      <c r="GV76">
        <f t="shared" ref="GV76:GV86" si="98">ROUND((GT76),6)</f>
        <v>0</v>
      </c>
      <c r="GW76">
        <v>1</v>
      </c>
      <c r="GX76">
        <f t="shared" ref="GX76:GX86" si="99">ROUND(HC76*I76,2)</f>
        <v>0</v>
      </c>
      <c r="HA76">
        <v>0</v>
      </c>
      <c r="HB76">
        <v>0</v>
      </c>
      <c r="HC76">
        <f t="shared" ref="HC76:HC86" si="100">GV76*GW76</f>
        <v>0</v>
      </c>
      <c r="IK76">
        <v>0</v>
      </c>
    </row>
    <row r="77" spans="1:245" x14ac:dyDescent="0.2">
      <c r="A77">
        <v>17</v>
      </c>
      <c r="B77">
        <v>1</v>
      </c>
      <c r="C77">
        <f>ROW(SmtRes!A33)</f>
        <v>33</v>
      </c>
      <c r="D77">
        <f>ROW(EtalonRes!A32)</f>
        <v>32</v>
      </c>
      <c r="E77" t="s">
        <v>126</v>
      </c>
      <c r="F77" t="s">
        <v>127</v>
      </c>
      <c r="G77" t="s">
        <v>128</v>
      </c>
      <c r="H77" t="s">
        <v>22</v>
      </c>
      <c r="I77">
        <f>ROUND((3224*0.42*0.1)/100,9)</f>
        <v>1.35408</v>
      </c>
      <c r="J77">
        <v>0</v>
      </c>
      <c r="O77">
        <f t="shared" si="70"/>
        <v>56805.15</v>
      </c>
      <c r="P77">
        <f t="shared" si="71"/>
        <v>0</v>
      </c>
      <c r="Q77">
        <f t="shared" si="72"/>
        <v>0</v>
      </c>
      <c r="R77">
        <f t="shared" si="73"/>
        <v>0</v>
      </c>
      <c r="S77">
        <f t="shared" si="74"/>
        <v>56805.15</v>
      </c>
      <c r="T77">
        <f t="shared" si="75"/>
        <v>0</v>
      </c>
      <c r="U77">
        <f t="shared" si="76"/>
        <v>300.06412799999998</v>
      </c>
      <c r="V77">
        <f t="shared" si="77"/>
        <v>0</v>
      </c>
      <c r="W77">
        <f t="shared" si="78"/>
        <v>0</v>
      </c>
      <c r="X77">
        <f t="shared" si="79"/>
        <v>39763.61</v>
      </c>
      <c r="Y77">
        <f t="shared" si="80"/>
        <v>5680.52</v>
      </c>
      <c r="AA77">
        <v>42184655</v>
      </c>
      <c r="AB77">
        <f t="shared" si="81"/>
        <v>41951.1</v>
      </c>
      <c r="AC77">
        <f>ROUND((ES77),6)</f>
        <v>0</v>
      </c>
      <c r="AD77">
        <f>ROUND((((ET77)-(EU77))+AE77),6)</f>
        <v>0</v>
      </c>
      <c r="AE77">
        <f t="shared" si="82"/>
        <v>0</v>
      </c>
      <c r="AF77">
        <f t="shared" si="82"/>
        <v>41951.1</v>
      </c>
      <c r="AG77">
        <f t="shared" si="83"/>
        <v>0</v>
      </c>
      <c r="AH77">
        <f t="shared" si="84"/>
        <v>221.6</v>
      </c>
      <c r="AI77">
        <f t="shared" si="84"/>
        <v>0</v>
      </c>
      <c r="AJ77">
        <f t="shared" si="85"/>
        <v>0</v>
      </c>
      <c r="AK77">
        <v>41951.1</v>
      </c>
      <c r="AL77">
        <v>0</v>
      </c>
      <c r="AM77">
        <v>0</v>
      </c>
      <c r="AN77">
        <v>0</v>
      </c>
      <c r="AO77">
        <v>41951.1</v>
      </c>
      <c r="AP77">
        <v>0</v>
      </c>
      <c r="AQ77">
        <v>221.6</v>
      </c>
      <c r="AR77">
        <v>0</v>
      </c>
      <c r="AS77">
        <v>0</v>
      </c>
      <c r="AT77">
        <v>70</v>
      </c>
      <c r="AU77">
        <v>10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129</v>
      </c>
      <c r="BM77">
        <v>0</v>
      </c>
      <c r="BN77">
        <v>0</v>
      </c>
      <c r="BO77" t="s">
        <v>3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70</v>
      </c>
      <c r="CA77">
        <v>10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86"/>
        <v>56805.15</v>
      </c>
      <c r="CQ77">
        <f t="shared" si="87"/>
        <v>0</v>
      </c>
      <c r="CR77">
        <f>((((ET77)*BB77-(EU77)*BS77)+AE77*BS77)*AV77)</f>
        <v>0</v>
      </c>
      <c r="CS77">
        <f t="shared" si="88"/>
        <v>0</v>
      </c>
      <c r="CT77">
        <f t="shared" si="89"/>
        <v>41951.1</v>
      </c>
      <c r="CU77">
        <f t="shared" si="90"/>
        <v>0</v>
      </c>
      <c r="CV77">
        <f t="shared" si="91"/>
        <v>221.6</v>
      </c>
      <c r="CW77">
        <f t="shared" si="92"/>
        <v>0</v>
      </c>
      <c r="CX77">
        <f t="shared" si="93"/>
        <v>0</v>
      </c>
      <c r="CY77">
        <f t="shared" si="94"/>
        <v>39763.605000000003</v>
      </c>
      <c r="CZ77">
        <f t="shared" si="95"/>
        <v>5680.5150000000003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22</v>
      </c>
      <c r="DW77" t="s">
        <v>22</v>
      </c>
      <c r="DX77">
        <v>100</v>
      </c>
      <c r="EE77">
        <v>40658659</v>
      </c>
      <c r="EF77">
        <v>1</v>
      </c>
      <c r="EG77" t="s">
        <v>24</v>
      </c>
      <c r="EH77">
        <v>0</v>
      </c>
      <c r="EI77" t="s">
        <v>3</v>
      </c>
      <c r="EJ77">
        <v>4</v>
      </c>
      <c r="EK77">
        <v>0</v>
      </c>
      <c r="EL77" t="s">
        <v>25</v>
      </c>
      <c r="EM77" t="s">
        <v>26</v>
      </c>
      <c r="EO77" t="s">
        <v>3</v>
      </c>
      <c r="EQ77">
        <v>0</v>
      </c>
      <c r="ER77">
        <v>41951.1</v>
      </c>
      <c r="ES77">
        <v>0</v>
      </c>
      <c r="ET77">
        <v>0</v>
      </c>
      <c r="EU77">
        <v>0</v>
      </c>
      <c r="EV77">
        <v>41951.1</v>
      </c>
      <c r="EW77">
        <v>221.6</v>
      </c>
      <c r="EX77">
        <v>0</v>
      </c>
      <c r="EY77">
        <v>0</v>
      </c>
      <c r="FQ77">
        <v>0</v>
      </c>
      <c r="FR77">
        <f t="shared" si="96"/>
        <v>0</v>
      </c>
      <c r="FS77">
        <v>0</v>
      </c>
      <c r="FX77">
        <v>70</v>
      </c>
      <c r="FY77">
        <v>10</v>
      </c>
      <c r="GA77" t="s">
        <v>3</v>
      </c>
      <c r="GD77">
        <v>0</v>
      </c>
      <c r="GF77">
        <v>1840361055</v>
      </c>
      <c r="GG77">
        <v>2</v>
      </c>
      <c r="GH77">
        <v>1</v>
      </c>
      <c r="GI77">
        <v>-2</v>
      </c>
      <c r="GJ77">
        <v>0</v>
      </c>
      <c r="GK77">
        <f>ROUND(R77*(R12)/100,2)</f>
        <v>0</v>
      </c>
      <c r="GL77">
        <f t="shared" si="97"/>
        <v>0</v>
      </c>
      <c r="GM77">
        <f>ROUND(O77+X77+Y77+GK77,2)+GX77</f>
        <v>102249.28</v>
      </c>
      <c r="GN77">
        <f>IF(OR(BI77=0,BI77=1),ROUND(O77+X77+Y77+GK77,2),0)</f>
        <v>0</v>
      </c>
      <c r="GO77">
        <f>IF(BI77=2,ROUND(O77+X77+Y77+GK77,2),0)</f>
        <v>0</v>
      </c>
      <c r="GP77">
        <f>IF(BI77=4,ROUND(O77+X77+Y77+GK77,2)+GX77,0)</f>
        <v>102249.28</v>
      </c>
      <c r="GR77">
        <v>0</v>
      </c>
      <c r="GS77">
        <v>3</v>
      </c>
      <c r="GT77">
        <v>0</v>
      </c>
      <c r="GU77" t="s">
        <v>3</v>
      </c>
      <c r="GV77">
        <f t="shared" si="98"/>
        <v>0</v>
      </c>
      <c r="GW77">
        <v>1</v>
      </c>
      <c r="GX77">
        <f t="shared" si="99"/>
        <v>0</v>
      </c>
      <c r="HA77">
        <v>0</v>
      </c>
      <c r="HB77">
        <v>0</v>
      </c>
      <c r="HC77">
        <f t="shared" si="100"/>
        <v>0</v>
      </c>
      <c r="IK77">
        <v>0</v>
      </c>
    </row>
    <row r="78" spans="1:245" x14ac:dyDescent="0.2">
      <c r="A78">
        <v>17</v>
      </c>
      <c r="B78">
        <v>1</v>
      </c>
      <c r="C78">
        <f>ROW(SmtRes!A34)</f>
        <v>34</v>
      </c>
      <c r="D78">
        <f>ROW(EtalonRes!A33)</f>
        <v>33</v>
      </c>
      <c r="E78" t="s">
        <v>130</v>
      </c>
      <c r="F78" t="s">
        <v>32</v>
      </c>
      <c r="G78" t="s">
        <v>33</v>
      </c>
      <c r="H78" t="s">
        <v>22</v>
      </c>
      <c r="I78">
        <f>ROUND((3224*0.42*0.1*0.1)/100,9)</f>
        <v>0.135408</v>
      </c>
      <c r="J78">
        <v>0</v>
      </c>
      <c r="O78">
        <f t="shared" si="70"/>
        <v>1507.13</v>
      </c>
      <c r="P78">
        <f t="shared" si="71"/>
        <v>0</v>
      </c>
      <c r="Q78">
        <f t="shared" si="72"/>
        <v>0</v>
      </c>
      <c r="R78">
        <f t="shared" si="73"/>
        <v>0</v>
      </c>
      <c r="S78">
        <f t="shared" si="74"/>
        <v>1507.13</v>
      </c>
      <c r="T78">
        <f t="shared" si="75"/>
        <v>0</v>
      </c>
      <c r="U78">
        <f t="shared" si="76"/>
        <v>11.238864</v>
      </c>
      <c r="V78">
        <f t="shared" si="77"/>
        <v>0</v>
      </c>
      <c r="W78">
        <f t="shared" si="78"/>
        <v>0</v>
      </c>
      <c r="X78">
        <f t="shared" si="79"/>
        <v>1054.99</v>
      </c>
      <c r="Y78">
        <f t="shared" si="80"/>
        <v>150.71</v>
      </c>
      <c r="AA78">
        <v>42184655</v>
      </c>
      <c r="AB78">
        <f t="shared" si="81"/>
        <v>11130.3</v>
      </c>
      <c r="AC78">
        <f>ROUND((ES78),6)</f>
        <v>0</v>
      </c>
      <c r="AD78">
        <f>ROUND((((ET78)-(EU78))+AE78),6)</f>
        <v>0</v>
      </c>
      <c r="AE78">
        <f t="shared" si="82"/>
        <v>0</v>
      </c>
      <c r="AF78">
        <f t="shared" si="82"/>
        <v>11130.3</v>
      </c>
      <c r="AG78">
        <f t="shared" si="83"/>
        <v>0</v>
      </c>
      <c r="AH78">
        <f t="shared" si="84"/>
        <v>83</v>
      </c>
      <c r="AI78">
        <f t="shared" si="84"/>
        <v>0</v>
      </c>
      <c r="AJ78">
        <f t="shared" si="85"/>
        <v>0</v>
      </c>
      <c r="AK78">
        <v>11130.3</v>
      </c>
      <c r="AL78">
        <v>0</v>
      </c>
      <c r="AM78">
        <v>0</v>
      </c>
      <c r="AN78">
        <v>0</v>
      </c>
      <c r="AO78">
        <v>11130.3</v>
      </c>
      <c r="AP78">
        <v>0</v>
      </c>
      <c r="AQ78">
        <v>83</v>
      </c>
      <c r="AR78">
        <v>0</v>
      </c>
      <c r="AS78">
        <v>0</v>
      </c>
      <c r="AT78">
        <v>70</v>
      </c>
      <c r="AU78">
        <v>10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34</v>
      </c>
      <c r="BM78">
        <v>0</v>
      </c>
      <c r="BN78">
        <v>0</v>
      </c>
      <c r="BO78" t="s">
        <v>3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70</v>
      </c>
      <c r="CA78">
        <v>10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86"/>
        <v>1507.13</v>
      </c>
      <c r="CQ78">
        <f t="shared" si="87"/>
        <v>0</v>
      </c>
      <c r="CR78">
        <f>((((ET78)*BB78-(EU78)*BS78)+AE78*BS78)*AV78)</f>
        <v>0</v>
      </c>
      <c r="CS78">
        <f t="shared" si="88"/>
        <v>0</v>
      </c>
      <c r="CT78">
        <f t="shared" si="89"/>
        <v>11130.3</v>
      </c>
      <c r="CU78">
        <f t="shared" si="90"/>
        <v>0</v>
      </c>
      <c r="CV78">
        <f t="shared" si="91"/>
        <v>83</v>
      </c>
      <c r="CW78">
        <f t="shared" si="92"/>
        <v>0</v>
      </c>
      <c r="CX78">
        <f t="shared" si="93"/>
        <v>0</v>
      </c>
      <c r="CY78">
        <f t="shared" si="94"/>
        <v>1054.991</v>
      </c>
      <c r="CZ78">
        <f t="shared" si="95"/>
        <v>150.71300000000002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1007</v>
      </c>
      <c r="DV78" t="s">
        <v>22</v>
      </c>
      <c r="DW78" t="s">
        <v>22</v>
      </c>
      <c r="DX78">
        <v>100</v>
      </c>
      <c r="EE78">
        <v>40658659</v>
      </c>
      <c r="EF78">
        <v>1</v>
      </c>
      <c r="EG78" t="s">
        <v>24</v>
      </c>
      <c r="EH78">
        <v>0</v>
      </c>
      <c r="EI78" t="s">
        <v>3</v>
      </c>
      <c r="EJ78">
        <v>4</v>
      </c>
      <c r="EK78">
        <v>0</v>
      </c>
      <c r="EL78" t="s">
        <v>25</v>
      </c>
      <c r="EM78" t="s">
        <v>26</v>
      </c>
      <c r="EO78" t="s">
        <v>3</v>
      </c>
      <c r="EQ78">
        <v>0</v>
      </c>
      <c r="ER78">
        <v>11130.3</v>
      </c>
      <c r="ES78">
        <v>0</v>
      </c>
      <c r="ET78">
        <v>0</v>
      </c>
      <c r="EU78">
        <v>0</v>
      </c>
      <c r="EV78">
        <v>11130.3</v>
      </c>
      <c r="EW78">
        <v>83</v>
      </c>
      <c r="EX78">
        <v>0</v>
      </c>
      <c r="EY78">
        <v>0</v>
      </c>
      <c r="FQ78">
        <v>0</v>
      </c>
      <c r="FR78">
        <f t="shared" si="96"/>
        <v>0</v>
      </c>
      <c r="FS78">
        <v>0</v>
      </c>
      <c r="FX78">
        <v>70</v>
      </c>
      <c r="FY78">
        <v>10</v>
      </c>
      <c r="GA78" t="s">
        <v>3</v>
      </c>
      <c r="GD78">
        <v>0</v>
      </c>
      <c r="GF78">
        <v>-1649887295</v>
      </c>
      <c r="GG78">
        <v>2</v>
      </c>
      <c r="GH78">
        <v>1</v>
      </c>
      <c r="GI78">
        <v>-2</v>
      </c>
      <c r="GJ78">
        <v>0</v>
      </c>
      <c r="GK78">
        <f>ROUND(R78*(R12)/100,2)</f>
        <v>0</v>
      </c>
      <c r="GL78">
        <f t="shared" si="97"/>
        <v>0</v>
      </c>
      <c r="GM78">
        <f>ROUND(O78+X78+Y78+GK78,2)+GX78</f>
        <v>2712.83</v>
      </c>
      <c r="GN78">
        <f>IF(OR(BI78=0,BI78=1),ROUND(O78+X78+Y78+GK78,2),0)</f>
        <v>0</v>
      </c>
      <c r="GO78">
        <f>IF(BI78=2,ROUND(O78+X78+Y78+GK78,2),0)</f>
        <v>0</v>
      </c>
      <c r="GP78">
        <f>IF(BI78=4,ROUND(O78+X78+Y78+GK78,2)+GX78,0)</f>
        <v>2712.83</v>
      </c>
      <c r="GR78">
        <v>0</v>
      </c>
      <c r="GS78">
        <v>3</v>
      </c>
      <c r="GT78">
        <v>0</v>
      </c>
      <c r="GU78" t="s">
        <v>3</v>
      </c>
      <c r="GV78">
        <f t="shared" si="98"/>
        <v>0</v>
      </c>
      <c r="GW78">
        <v>1</v>
      </c>
      <c r="GX78">
        <f t="shared" si="99"/>
        <v>0</v>
      </c>
      <c r="HA78">
        <v>0</v>
      </c>
      <c r="HB78">
        <v>0</v>
      </c>
      <c r="HC78">
        <f t="shared" si="100"/>
        <v>0</v>
      </c>
      <c r="IK78">
        <v>0</v>
      </c>
    </row>
    <row r="79" spans="1:245" x14ac:dyDescent="0.2">
      <c r="A79">
        <v>17</v>
      </c>
      <c r="B79">
        <v>1</v>
      </c>
      <c r="C79">
        <f>ROW(SmtRes!A35)</f>
        <v>35</v>
      </c>
      <c r="D79">
        <f>ROW(EtalonRes!A34)</f>
        <v>34</v>
      </c>
      <c r="E79" t="s">
        <v>131</v>
      </c>
      <c r="F79" t="s">
        <v>36</v>
      </c>
      <c r="G79" t="s">
        <v>37</v>
      </c>
      <c r="H79" t="s">
        <v>38</v>
      </c>
      <c r="I79">
        <f>ROUND(3224*0.42,9)</f>
        <v>1354.08</v>
      </c>
      <c r="J79">
        <v>0</v>
      </c>
      <c r="O79">
        <f t="shared" si="70"/>
        <v>64007.360000000001</v>
      </c>
      <c r="P79">
        <f t="shared" si="71"/>
        <v>0</v>
      </c>
      <c r="Q79">
        <f t="shared" si="72"/>
        <v>64007.360000000001</v>
      </c>
      <c r="R79">
        <f t="shared" si="73"/>
        <v>34745.69</v>
      </c>
      <c r="S79">
        <f t="shared" si="74"/>
        <v>0</v>
      </c>
      <c r="T79">
        <f t="shared" si="75"/>
        <v>0</v>
      </c>
      <c r="U79">
        <f t="shared" si="76"/>
        <v>0</v>
      </c>
      <c r="V79">
        <f t="shared" si="77"/>
        <v>0</v>
      </c>
      <c r="W79">
        <f t="shared" si="78"/>
        <v>0</v>
      </c>
      <c r="X79">
        <f t="shared" si="79"/>
        <v>0</v>
      </c>
      <c r="Y79">
        <f t="shared" si="80"/>
        <v>0</v>
      </c>
      <c r="AA79">
        <v>42184655</v>
      </c>
      <c r="AB79">
        <f t="shared" si="81"/>
        <v>47.27</v>
      </c>
      <c r="AC79">
        <f>ROUND((ES79),6)</f>
        <v>0</v>
      </c>
      <c r="AD79">
        <f>ROUND((((ET79)-(EU79))+AE79),6)</f>
        <v>47.27</v>
      </c>
      <c r="AE79">
        <f t="shared" si="82"/>
        <v>25.66</v>
      </c>
      <c r="AF79">
        <f t="shared" si="82"/>
        <v>0</v>
      </c>
      <c r="AG79">
        <f t="shared" si="83"/>
        <v>0</v>
      </c>
      <c r="AH79">
        <f t="shared" si="84"/>
        <v>0</v>
      </c>
      <c r="AI79">
        <f t="shared" si="84"/>
        <v>0</v>
      </c>
      <c r="AJ79">
        <f t="shared" si="85"/>
        <v>0</v>
      </c>
      <c r="AK79">
        <v>47.27</v>
      </c>
      <c r="AL79">
        <v>0</v>
      </c>
      <c r="AM79">
        <v>47.27</v>
      </c>
      <c r="AN79">
        <v>25.66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4</v>
      </c>
      <c r="BJ79" t="s">
        <v>39</v>
      </c>
      <c r="BM79">
        <v>1</v>
      </c>
      <c r="BN79">
        <v>0</v>
      </c>
      <c r="BO79" t="s">
        <v>3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86"/>
        <v>64007.360000000001</v>
      </c>
      <c r="CQ79">
        <f t="shared" si="87"/>
        <v>0</v>
      </c>
      <c r="CR79">
        <f>((((ET79)*BB79-(EU79)*BS79)+AE79*BS79)*AV79)</f>
        <v>47.27</v>
      </c>
      <c r="CS79">
        <f t="shared" si="88"/>
        <v>25.66</v>
      </c>
      <c r="CT79">
        <f t="shared" si="89"/>
        <v>0</v>
      </c>
      <c r="CU79">
        <f t="shared" si="90"/>
        <v>0</v>
      </c>
      <c r="CV79">
        <f t="shared" si="91"/>
        <v>0</v>
      </c>
      <c r="CW79">
        <f t="shared" si="92"/>
        <v>0</v>
      </c>
      <c r="CX79">
        <f t="shared" si="93"/>
        <v>0</v>
      </c>
      <c r="CY79">
        <f t="shared" si="94"/>
        <v>0</v>
      </c>
      <c r="CZ79">
        <f t="shared" si="95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1007</v>
      </c>
      <c r="DV79" t="s">
        <v>38</v>
      </c>
      <c r="DW79" t="s">
        <v>38</v>
      </c>
      <c r="DX79">
        <v>1</v>
      </c>
      <c r="EE79">
        <v>40658662</v>
      </c>
      <c r="EF79">
        <v>1</v>
      </c>
      <c r="EG79" t="s">
        <v>24</v>
      </c>
      <c r="EH79">
        <v>0</v>
      </c>
      <c r="EI79" t="s">
        <v>3</v>
      </c>
      <c r="EJ79">
        <v>4</v>
      </c>
      <c r="EK79">
        <v>1</v>
      </c>
      <c r="EL79" t="s">
        <v>40</v>
      </c>
      <c r="EM79" t="s">
        <v>26</v>
      </c>
      <c r="EO79" t="s">
        <v>3</v>
      </c>
      <c r="EQ79">
        <v>0</v>
      </c>
      <c r="ER79">
        <v>47.27</v>
      </c>
      <c r="ES79">
        <v>0</v>
      </c>
      <c r="ET79">
        <v>47.27</v>
      </c>
      <c r="EU79">
        <v>25.66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96"/>
        <v>0</v>
      </c>
      <c r="FS79">
        <v>0</v>
      </c>
      <c r="FX79">
        <v>0</v>
      </c>
      <c r="FY79">
        <v>0</v>
      </c>
      <c r="GA79" t="s">
        <v>3</v>
      </c>
      <c r="GD79">
        <v>1</v>
      </c>
      <c r="GF79">
        <v>-1249335408</v>
      </c>
      <c r="GG79">
        <v>2</v>
      </c>
      <c r="GH79">
        <v>1</v>
      </c>
      <c r="GI79">
        <v>-2</v>
      </c>
      <c r="GJ79">
        <v>0</v>
      </c>
      <c r="GK79">
        <v>0</v>
      </c>
      <c r="GL79">
        <f t="shared" si="97"/>
        <v>0</v>
      </c>
      <c r="GM79">
        <f>ROUND(O79+X79+Y79,2)+GX79</f>
        <v>64007.360000000001</v>
      </c>
      <c r="GN79">
        <f>IF(OR(BI79=0,BI79=1),ROUND(O79+X79+Y79,2),0)</f>
        <v>0</v>
      </c>
      <c r="GO79">
        <f>IF(BI79=2,ROUND(O79+X79+Y79,2),0)</f>
        <v>0</v>
      </c>
      <c r="GP79">
        <f>IF(BI79=4,ROUND(O79+X79+Y79,2)+GX79,0)</f>
        <v>64007.360000000001</v>
      </c>
      <c r="GR79">
        <v>0</v>
      </c>
      <c r="GS79">
        <v>3</v>
      </c>
      <c r="GT79">
        <v>0</v>
      </c>
      <c r="GU79" t="s">
        <v>3</v>
      </c>
      <c r="GV79">
        <f t="shared" si="98"/>
        <v>0</v>
      </c>
      <c r="GW79">
        <v>1</v>
      </c>
      <c r="GX79">
        <f t="shared" si="99"/>
        <v>0</v>
      </c>
      <c r="HA79">
        <v>0</v>
      </c>
      <c r="HB79">
        <v>0</v>
      </c>
      <c r="HC79">
        <f t="shared" si="100"/>
        <v>0</v>
      </c>
      <c r="IK79">
        <v>0</v>
      </c>
    </row>
    <row r="80" spans="1:245" x14ac:dyDescent="0.2">
      <c r="A80">
        <v>17</v>
      </c>
      <c r="B80">
        <v>1</v>
      </c>
      <c r="C80">
        <f>ROW(SmtRes!A36)</f>
        <v>36</v>
      </c>
      <c r="D80">
        <f>ROW(EtalonRes!A35)</f>
        <v>35</v>
      </c>
      <c r="E80" t="s">
        <v>132</v>
      </c>
      <c r="F80" t="s">
        <v>42</v>
      </c>
      <c r="G80" t="s">
        <v>43</v>
      </c>
      <c r="H80" t="s">
        <v>38</v>
      </c>
      <c r="I80">
        <f>ROUND(I79,9)</f>
        <v>1354.08</v>
      </c>
      <c r="J80">
        <v>0</v>
      </c>
      <c r="O80">
        <f t="shared" si="70"/>
        <v>1115084.8799999999</v>
      </c>
      <c r="P80">
        <f t="shared" si="71"/>
        <v>0</v>
      </c>
      <c r="Q80">
        <f t="shared" si="72"/>
        <v>1115084.8799999999</v>
      </c>
      <c r="R80">
        <f t="shared" si="73"/>
        <v>605436.25</v>
      </c>
      <c r="S80">
        <f t="shared" si="74"/>
        <v>0</v>
      </c>
      <c r="T80">
        <f t="shared" si="75"/>
        <v>0</v>
      </c>
      <c r="U80">
        <f t="shared" si="76"/>
        <v>0</v>
      </c>
      <c r="V80">
        <f t="shared" si="77"/>
        <v>0</v>
      </c>
      <c r="W80">
        <f t="shared" si="78"/>
        <v>0</v>
      </c>
      <c r="X80">
        <f t="shared" si="79"/>
        <v>0</v>
      </c>
      <c r="Y80">
        <f t="shared" si="80"/>
        <v>0</v>
      </c>
      <c r="AA80">
        <v>42184655</v>
      </c>
      <c r="AB80">
        <f t="shared" si="81"/>
        <v>823.5</v>
      </c>
      <c r="AC80">
        <f>ROUND(((ES80*54)),6)</f>
        <v>0</v>
      </c>
      <c r="AD80">
        <f>ROUND(((((ET80*54))-((EU80*54)))+AE80),6)</f>
        <v>823.5</v>
      </c>
      <c r="AE80">
        <f>ROUND(((EU80*54)),6)</f>
        <v>447.12</v>
      </c>
      <c r="AF80">
        <f>ROUND(((EV80*54)),6)</f>
        <v>0</v>
      </c>
      <c r="AG80">
        <f t="shared" si="83"/>
        <v>0</v>
      </c>
      <c r="AH80">
        <f>((EW80*54))</f>
        <v>0</v>
      </c>
      <c r="AI80">
        <f>((EX80*54))</f>
        <v>0</v>
      </c>
      <c r="AJ80">
        <f t="shared" si="85"/>
        <v>0</v>
      </c>
      <c r="AK80">
        <v>15.25</v>
      </c>
      <c r="AL80">
        <v>0</v>
      </c>
      <c r="AM80">
        <v>15.25</v>
      </c>
      <c r="AN80">
        <v>8.2799999999999994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0</v>
      </c>
      <c r="BI80">
        <v>4</v>
      </c>
      <c r="BJ80" t="s">
        <v>44</v>
      </c>
      <c r="BM80">
        <v>1</v>
      </c>
      <c r="BN80">
        <v>0</v>
      </c>
      <c r="BO80" t="s">
        <v>3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86"/>
        <v>1115084.8799999999</v>
      </c>
      <c r="CQ80">
        <f t="shared" si="87"/>
        <v>0</v>
      </c>
      <c r="CR80">
        <f>(((((ET80*54))*BB80-((EU80*54))*BS80)+AE80*BS80)*AV80)</f>
        <v>823.5</v>
      </c>
      <c r="CS80">
        <f t="shared" si="88"/>
        <v>447.12</v>
      </c>
      <c r="CT80">
        <f t="shared" si="89"/>
        <v>0</v>
      </c>
      <c r="CU80">
        <f t="shared" si="90"/>
        <v>0</v>
      </c>
      <c r="CV80">
        <f t="shared" si="91"/>
        <v>0</v>
      </c>
      <c r="CW80">
        <f t="shared" si="92"/>
        <v>0</v>
      </c>
      <c r="CX80">
        <f t="shared" si="93"/>
        <v>0</v>
      </c>
      <c r="CY80">
        <f t="shared" si="94"/>
        <v>0</v>
      </c>
      <c r="CZ80">
        <f t="shared" si="95"/>
        <v>0</v>
      </c>
      <c r="DC80" t="s">
        <v>3</v>
      </c>
      <c r="DD80" t="s">
        <v>45</v>
      </c>
      <c r="DE80" t="s">
        <v>45</v>
      </c>
      <c r="DF80" t="s">
        <v>45</v>
      </c>
      <c r="DG80" t="s">
        <v>45</v>
      </c>
      <c r="DH80" t="s">
        <v>3</v>
      </c>
      <c r="DI80" t="s">
        <v>45</v>
      </c>
      <c r="DJ80" t="s">
        <v>45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1007</v>
      </c>
      <c r="DV80" t="s">
        <v>38</v>
      </c>
      <c r="DW80" t="s">
        <v>38</v>
      </c>
      <c r="DX80">
        <v>1</v>
      </c>
      <c r="EE80">
        <v>40658662</v>
      </c>
      <c r="EF80">
        <v>1</v>
      </c>
      <c r="EG80" t="s">
        <v>24</v>
      </c>
      <c r="EH80">
        <v>0</v>
      </c>
      <c r="EI80" t="s">
        <v>3</v>
      </c>
      <c r="EJ80">
        <v>4</v>
      </c>
      <c r="EK80">
        <v>1</v>
      </c>
      <c r="EL80" t="s">
        <v>40</v>
      </c>
      <c r="EM80" t="s">
        <v>26</v>
      </c>
      <c r="EO80" t="s">
        <v>3</v>
      </c>
      <c r="EQ80">
        <v>0</v>
      </c>
      <c r="ER80">
        <v>15.25</v>
      </c>
      <c r="ES80">
        <v>0</v>
      </c>
      <c r="ET80">
        <v>15.25</v>
      </c>
      <c r="EU80">
        <v>8.2799999999999994</v>
      </c>
      <c r="EV80">
        <v>0</v>
      </c>
      <c r="EW80">
        <v>0</v>
      </c>
      <c r="EX80">
        <v>0</v>
      </c>
      <c r="EY80">
        <v>0</v>
      </c>
      <c r="FQ80">
        <v>0</v>
      </c>
      <c r="FR80">
        <f t="shared" si="96"/>
        <v>0</v>
      </c>
      <c r="FS80">
        <v>0</v>
      </c>
      <c r="FX80">
        <v>0</v>
      </c>
      <c r="FY80">
        <v>0</v>
      </c>
      <c r="GA80" t="s">
        <v>3</v>
      </c>
      <c r="GD80">
        <v>1</v>
      </c>
      <c r="GF80">
        <v>1511999612</v>
      </c>
      <c r="GG80">
        <v>2</v>
      </c>
      <c r="GH80">
        <v>1</v>
      </c>
      <c r="GI80">
        <v>-2</v>
      </c>
      <c r="GJ80">
        <v>0</v>
      </c>
      <c r="GK80">
        <v>0</v>
      </c>
      <c r="GL80">
        <f t="shared" si="97"/>
        <v>0</v>
      </c>
      <c r="GM80">
        <f>ROUND(O80+X80+Y80,2)+GX80</f>
        <v>1115084.8799999999</v>
      </c>
      <c r="GN80">
        <f>IF(OR(BI80=0,BI80=1),ROUND(O80+X80+Y80,2),0)</f>
        <v>0</v>
      </c>
      <c r="GO80">
        <f>IF(BI80=2,ROUND(O80+X80+Y80,2),0)</f>
        <v>0</v>
      </c>
      <c r="GP80">
        <f>IF(BI80=4,ROUND(O80+X80+Y80,2)+GX80,0)</f>
        <v>1115084.8799999999</v>
      </c>
      <c r="GR80">
        <v>0</v>
      </c>
      <c r="GS80">
        <v>3</v>
      </c>
      <c r="GT80">
        <v>0</v>
      </c>
      <c r="GU80" t="s">
        <v>3</v>
      </c>
      <c r="GV80">
        <f t="shared" si="98"/>
        <v>0</v>
      </c>
      <c r="GW80">
        <v>1</v>
      </c>
      <c r="GX80">
        <f t="shared" si="99"/>
        <v>0</v>
      </c>
      <c r="HA80">
        <v>0</v>
      </c>
      <c r="HB80">
        <v>0</v>
      </c>
      <c r="HC80">
        <f t="shared" si="100"/>
        <v>0</v>
      </c>
      <c r="IK80">
        <v>0</v>
      </c>
    </row>
    <row r="81" spans="1:245" x14ac:dyDescent="0.2">
      <c r="A81">
        <v>17</v>
      </c>
      <c r="B81">
        <v>1</v>
      </c>
      <c r="E81" t="s">
        <v>133</v>
      </c>
      <c r="F81" t="s">
        <v>47</v>
      </c>
      <c r="G81" t="s">
        <v>48</v>
      </c>
      <c r="H81" t="s">
        <v>3</v>
      </c>
      <c r="I81">
        <f>ROUND(I79*1.4,9)</f>
        <v>1895.712</v>
      </c>
      <c r="J81">
        <v>0</v>
      </c>
      <c r="O81">
        <f t="shared" si="70"/>
        <v>190139.91</v>
      </c>
      <c r="P81">
        <f t="shared" si="71"/>
        <v>190139.91</v>
      </c>
      <c r="Q81">
        <f t="shared" si="72"/>
        <v>0</v>
      </c>
      <c r="R81">
        <f t="shared" si="73"/>
        <v>0</v>
      </c>
      <c r="S81">
        <f t="shared" si="74"/>
        <v>0</v>
      </c>
      <c r="T81">
        <f t="shared" si="75"/>
        <v>0</v>
      </c>
      <c r="U81">
        <f t="shared" si="76"/>
        <v>0</v>
      </c>
      <c r="V81">
        <f t="shared" si="77"/>
        <v>0</v>
      </c>
      <c r="W81">
        <f t="shared" si="78"/>
        <v>0</v>
      </c>
      <c r="X81">
        <f t="shared" si="79"/>
        <v>0</v>
      </c>
      <c r="Y81">
        <f t="shared" si="80"/>
        <v>0</v>
      </c>
      <c r="AA81">
        <v>42184655</v>
      </c>
      <c r="AB81">
        <f t="shared" si="81"/>
        <v>100.3</v>
      </c>
      <c r="AC81">
        <f t="shared" ref="AC81:AC86" si="101">ROUND((ES81),6)</f>
        <v>100.3</v>
      </c>
      <c r="AD81">
        <f t="shared" ref="AD81:AD86" si="102">ROUND((((ET81)-(EU81))+AE81),6)</f>
        <v>0</v>
      </c>
      <c r="AE81">
        <f t="shared" ref="AE81:AF86" si="103">ROUND((EU81),6)</f>
        <v>0</v>
      </c>
      <c r="AF81">
        <f t="shared" si="103"/>
        <v>0</v>
      </c>
      <c r="AG81">
        <f t="shared" si="83"/>
        <v>0</v>
      </c>
      <c r="AH81">
        <f t="shared" ref="AH81:AI86" si="104">(EW81)</f>
        <v>0</v>
      </c>
      <c r="AI81">
        <f t="shared" si="104"/>
        <v>0</v>
      </c>
      <c r="AJ81">
        <f t="shared" si="85"/>
        <v>0</v>
      </c>
      <c r="AK81">
        <v>100.3</v>
      </c>
      <c r="AL81">
        <v>100.3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6001</v>
      </c>
      <c r="BN81">
        <v>0</v>
      </c>
      <c r="BO81" t="s">
        <v>3</v>
      </c>
      <c r="BP81">
        <v>0</v>
      </c>
      <c r="BQ81">
        <v>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E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86"/>
        <v>190139.91</v>
      </c>
      <c r="CQ81">
        <f t="shared" si="87"/>
        <v>100.3</v>
      </c>
      <c r="CR81">
        <f t="shared" ref="CR81:CR86" si="105">((((ET81)*BB81-(EU81)*BS81)+AE81*BS81)*AV81)</f>
        <v>0</v>
      </c>
      <c r="CS81">
        <f t="shared" si="88"/>
        <v>0</v>
      </c>
      <c r="CT81">
        <f t="shared" si="89"/>
        <v>0</v>
      </c>
      <c r="CU81">
        <f t="shared" si="90"/>
        <v>0</v>
      </c>
      <c r="CV81">
        <f t="shared" si="91"/>
        <v>0</v>
      </c>
      <c r="CW81">
        <f t="shared" si="92"/>
        <v>0</v>
      </c>
      <c r="CX81">
        <f t="shared" si="93"/>
        <v>0</v>
      </c>
      <c r="CY81">
        <f t="shared" si="94"/>
        <v>0</v>
      </c>
      <c r="CZ81">
        <f t="shared" si="95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EE81">
        <v>42086242</v>
      </c>
      <c r="EF81">
        <v>0</v>
      </c>
      <c r="EG81" t="s">
        <v>49</v>
      </c>
      <c r="EH81">
        <v>0</v>
      </c>
      <c r="EI81" t="s">
        <v>3</v>
      </c>
      <c r="EJ81">
        <v>1</v>
      </c>
      <c r="EK81">
        <v>6001</v>
      </c>
      <c r="EL81" t="s">
        <v>50</v>
      </c>
      <c r="EM81" t="s">
        <v>49</v>
      </c>
      <c r="EO81" t="s">
        <v>3</v>
      </c>
      <c r="EQ81">
        <v>0</v>
      </c>
      <c r="ER81">
        <v>100.3</v>
      </c>
      <c r="ES81">
        <v>100.3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100.3</v>
      </c>
      <c r="FQ81">
        <v>0</v>
      </c>
      <c r="FR81">
        <f t="shared" si="96"/>
        <v>0</v>
      </c>
      <c r="FS81">
        <v>0</v>
      </c>
      <c r="FX81">
        <v>0</v>
      </c>
      <c r="FY81">
        <v>0</v>
      </c>
      <c r="GA81" t="s">
        <v>51</v>
      </c>
      <c r="GD81">
        <v>0</v>
      </c>
      <c r="GF81">
        <v>572566054</v>
      </c>
      <c r="GG81">
        <v>2</v>
      </c>
      <c r="GH81">
        <v>3</v>
      </c>
      <c r="GI81">
        <v>-2</v>
      </c>
      <c r="GJ81">
        <v>0</v>
      </c>
      <c r="GK81">
        <f>ROUND(R81*(R12)/100,2)</f>
        <v>0</v>
      </c>
      <c r="GL81">
        <f t="shared" si="97"/>
        <v>0</v>
      </c>
      <c r="GM81">
        <f t="shared" ref="GM81:GM86" si="106">ROUND(O81+X81+Y81+GK81,2)+GX81</f>
        <v>190139.91</v>
      </c>
      <c r="GN81">
        <f t="shared" ref="GN81:GN86" si="107">IF(OR(BI81=0,BI81=1),ROUND(O81+X81+Y81+GK81,2),0)</f>
        <v>190139.91</v>
      </c>
      <c r="GO81">
        <f t="shared" ref="GO81:GO86" si="108">IF(BI81=2,ROUND(O81+X81+Y81+GK81,2),0)</f>
        <v>0</v>
      </c>
      <c r="GP81">
        <f t="shared" ref="GP81:GP86" si="109">IF(BI81=4,ROUND(O81+X81+Y81+GK81,2)+GX81,0)</f>
        <v>0</v>
      </c>
      <c r="GR81">
        <v>1</v>
      </c>
      <c r="GS81">
        <v>1</v>
      </c>
      <c r="GT81">
        <v>0</v>
      </c>
      <c r="GU81" t="s">
        <v>3</v>
      </c>
      <c r="GV81">
        <f t="shared" si="98"/>
        <v>0</v>
      </c>
      <c r="GW81">
        <v>1</v>
      </c>
      <c r="GX81">
        <f t="shared" si="99"/>
        <v>0</v>
      </c>
      <c r="HA81">
        <v>0</v>
      </c>
      <c r="HB81">
        <v>0</v>
      </c>
      <c r="HC81">
        <f t="shared" si="100"/>
        <v>0</v>
      </c>
      <c r="IK81">
        <v>0</v>
      </c>
    </row>
    <row r="82" spans="1:245" x14ac:dyDescent="0.2">
      <c r="A82">
        <v>17</v>
      </c>
      <c r="B82">
        <v>1</v>
      </c>
      <c r="C82">
        <f>ROW(SmtRes!A44)</f>
        <v>44</v>
      </c>
      <c r="D82">
        <f>ROW(EtalonRes!A43)</f>
        <v>43</v>
      </c>
      <c r="E82" t="s">
        <v>134</v>
      </c>
      <c r="F82" t="s">
        <v>53</v>
      </c>
      <c r="G82" t="s">
        <v>54</v>
      </c>
      <c r="H82" t="s">
        <v>22</v>
      </c>
      <c r="I82">
        <f>ROUND((3224*0.2)/100,9)</f>
        <v>6.4480000000000004</v>
      </c>
      <c r="J82">
        <v>0</v>
      </c>
      <c r="O82">
        <f t="shared" si="70"/>
        <v>489169.91</v>
      </c>
      <c r="P82">
        <f t="shared" si="71"/>
        <v>420164.9</v>
      </c>
      <c r="Q82">
        <f t="shared" si="72"/>
        <v>49019.18</v>
      </c>
      <c r="R82">
        <f t="shared" si="73"/>
        <v>20781.78</v>
      </c>
      <c r="S82">
        <f t="shared" si="74"/>
        <v>19985.830000000002</v>
      </c>
      <c r="T82">
        <f t="shared" si="75"/>
        <v>0</v>
      </c>
      <c r="U82">
        <f t="shared" si="76"/>
        <v>106.77888</v>
      </c>
      <c r="V82">
        <f t="shared" si="77"/>
        <v>0</v>
      </c>
      <c r="W82">
        <f t="shared" si="78"/>
        <v>0</v>
      </c>
      <c r="X82">
        <f t="shared" si="79"/>
        <v>13990.08</v>
      </c>
      <c r="Y82">
        <f t="shared" si="80"/>
        <v>1998.58</v>
      </c>
      <c r="AA82">
        <v>42184655</v>
      </c>
      <c r="AB82">
        <f t="shared" si="81"/>
        <v>75863.820000000007</v>
      </c>
      <c r="AC82">
        <f t="shared" si="101"/>
        <v>65162.05</v>
      </c>
      <c r="AD82">
        <f t="shared" si="102"/>
        <v>7602.23</v>
      </c>
      <c r="AE82">
        <f t="shared" si="103"/>
        <v>3222.98</v>
      </c>
      <c r="AF82">
        <f t="shared" si="103"/>
        <v>3099.54</v>
      </c>
      <c r="AG82">
        <f t="shared" si="83"/>
        <v>0</v>
      </c>
      <c r="AH82">
        <f t="shared" si="104"/>
        <v>16.559999999999999</v>
      </c>
      <c r="AI82">
        <f t="shared" si="104"/>
        <v>0</v>
      </c>
      <c r="AJ82">
        <f t="shared" si="85"/>
        <v>0</v>
      </c>
      <c r="AK82">
        <v>75863.820000000007</v>
      </c>
      <c r="AL82">
        <v>65162.05</v>
      </c>
      <c r="AM82">
        <v>7602.23</v>
      </c>
      <c r="AN82">
        <v>3222.98</v>
      </c>
      <c r="AO82">
        <v>3099.54</v>
      </c>
      <c r="AP82">
        <v>0</v>
      </c>
      <c r="AQ82">
        <v>16.559999999999999</v>
      </c>
      <c r="AR82">
        <v>0</v>
      </c>
      <c r="AS82">
        <v>0</v>
      </c>
      <c r="AT82">
        <v>70</v>
      </c>
      <c r="AU82">
        <v>10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0</v>
      </c>
      <c r="BI82">
        <v>4</v>
      </c>
      <c r="BJ82" t="s">
        <v>55</v>
      </c>
      <c r="BM82">
        <v>0</v>
      </c>
      <c r="BN82">
        <v>0</v>
      </c>
      <c r="BO82" t="s">
        <v>3</v>
      </c>
      <c r="BP82">
        <v>0</v>
      </c>
      <c r="BQ82">
        <v>1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70</v>
      </c>
      <c r="CA82">
        <v>10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6"/>
        <v>489169.91000000003</v>
      </c>
      <c r="CQ82">
        <f t="shared" si="87"/>
        <v>65162.05</v>
      </c>
      <c r="CR82">
        <f t="shared" si="105"/>
        <v>7602.23</v>
      </c>
      <c r="CS82">
        <f t="shared" si="88"/>
        <v>3222.98</v>
      </c>
      <c r="CT82">
        <f t="shared" si="89"/>
        <v>3099.54</v>
      </c>
      <c r="CU82">
        <f t="shared" si="90"/>
        <v>0</v>
      </c>
      <c r="CV82">
        <f t="shared" si="91"/>
        <v>16.559999999999999</v>
      </c>
      <c r="CW82">
        <f t="shared" si="92"/>
        <v>0</v>
      </c>
      <c r="CX82">
        <f t="shared" si="93"/>
        <v>0</v>
      </c>
      <c r="CY82">
        <f t="shared" si="94"/>
        <v>13990.081</v>
      </c>
      <c r="CZ82">
        <f t="shared" si="95"/>
        <v>1998.5830000000001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1007</v>
      </c>
      <c r="DV82" t="s">
        <v>22</v>
      </c>
      <c r="DW82" t="s">
        <v>22</v>
      </c>
      <c r="DX82">
        <v>100</v>
      </c>
      <c r="EE82">
        <v>40658659</v>
      </c>
      <c r="EF82">
        <v>1</v>
      </c>
      <c r="EG82" t="s">
        <v>24</v>
      </c>
      <c r="EH82">
        <v>0</v>
      </c>
      <c r="EI82" t="s">
        <v>3</v>
      </c>
      <c r="EJ82">
        <v>4</v>
      </c>
      <c r="EK82">
        <v>0</v>
      </c>
      <c r="EL82" t="s">
        <v>25</v>
      </c>
      <c r="EM82" t="s">
        <v>26</v>
      </c>
      <c r="EO82" t="s">
        <v>3</v>
      </c>
      <c r="EQ82">
        <v>0</v>
      </c>
      <c r="ER82">
        <v>75863.820000000007</v>
      </c>
      <c r="ES82">
        <v>65162.05</v>
      </c>
      <c r="ET82">
        <v>7602.23</v>
      </c>
      <c r="EU82">
        <v>3222.98</v>
      </c>
      <c r="EV82">
        <v>3099.54</v>
      </c>
      <c r="EW82">
        <v>16.559999999999999</v>
      </c>
      <c r="EX82">
        <v>0</v>
      </c>
      <c r="EY82">
        <v>0</v>
      </c>
      <c r="FQ82">
        <v>0</v>
      </c>
      <c r="FR82">
        <f t="shared" si="96"/>
        <v>0</v>
      </c>
      <c r="FS82">
        <v>0</v>
      </c>
      <c r="FX82">
        <v>70</v>
      </c>
      <c r="FY82">
        <v>10</v>
      </c>
      <c r="GA82" t="s">
        <v>3</v>
      </c>
      <c r="GD82">
        <v>0</v>
      </c>
      <c r="GF82">
        <v>2135562757</v>
      </c>
      <c r="GG82">
        <v>2</v>
      </c>
      <c r="GH82">
        <v>1</v>
      </c>
      <c r="GI82">
        <v>-2</v>
      </c>
      <c r="GJ82">
        <v>0</v>
      </c>
      <c r="GK82">
        <f>ROUND(R82*(R12)/100,2)</f>
        <v>22444.32</v>
      </c>
      <c r="GL82">
        <f t="shared" si="97"/>
        <v>0</v>
      </c>
      <c r="GM82">
        <f t="shared" si="106"/>
        <v>527602.89</v>
      </c>
      <c r="GN82">
        <f t="shared" si="107"/>
        <v>0</v>
      </c>
      <c r="GO82">
        <f t="shared" si="108"/>
        <v>0</v>
      </c>
      <c r="GP82">
        <f t="shared" si="109"/>
        <v>527602.89</v>
      </c>
      <c r="GR82">
        <v>0</v>
      </c>
      <c r="GS82">
        <v>3</v>
      </c>
      <c r="GT82">
        <v>0</v>
      </c>
      <c r="GU82" t="s">
        <v>3</v>
      </c>
      <c r="GV82">
        <f t="shared" si="98"/>
        <v>0</v>
      </c>
      <c r="GW82">
        <v>1</v>
      </c>
      <c r="GX82">
        <f t="shared" si="99"/>
        <v>0</v>
      </c>
      <c r="HA82">
        <v>0</v>
      </c>
      <c r="HB82">
        <v>0</v>
      </c>
      <c r="HC82">
        <f t="shared" si="100"/>
        <v>0</v>
      </c>
      <c r="IK82">
        <v>0</v>
      </c>
    </row>
    <row r="83" spans="1:245" x14ac:dyDescent="0.2">
      <c r="A83">
        <v>17</v>
      </c>
      <c r="B83">
        <v>1</v>
      </c>
      <c r="C83">
        <f>ROW(SmtRes!A53)</f>
        <v>53</v>
      </c>
      <c r="D83">
        <f>ROW(EtalonRes!A52)</f>
        <v>52</v>
      </c>
      <c r="E83" t="s">
        <v>135</v>
      </c>
      <c r="F83" t="s">
        <v>57</v>
      </c>
      <c r="G83" t="s">
        <v>58</v>
      </c>
      <c r="H83" t="s">
        <v>22</v>
      </c>
      <c r="I83" s="91" t="s">
        <v>528</v>
      </c>
      <c r="J83">
        <v>0</v>
      </c>
      <c r="O83">
        <f t="shared" si="70"/>
        <v>1327253.6100000001</v>
      </c>
      <c r="P83">
        <f t="shared" si="71"/>
        <v>1051347.94</v>
      </c>
      <c r="Q83">
        <f t="shared" si="72"/>
        <v>253934.94</v>
      </c>
      <c r="R83">
        <f t="shared" si="73"/>
        <v>100254.22</v>
      </c>
      <c r="S83">
        <f t="shared" si="74"/>
        <v>21970.73</v>
      </c>
      <c r="T83">
        <f t="shared" si="75"/>
        <v>0</v>
      </c>
      <c r="U83">
        <f t="shared" si="76"/>
        <v>117.383904</v>
      </c>
      <c r="V83">
        <f t="shared" si="77"/>
        <v>0</v>
      </c>
      <c r="W83">
        <f t="shared" si="78"/>
        <v>0</v>
      </c>
      <c r="X83">
        <f t="shared" si="79"/>
        <v>15379.51</v>
      </c>
      <c r="Y83">
        <f t="shared" si="80"/>
        <v>2197.0700000000002</v>
      </c>
      <c r="AA83">
        <v>42184655</v>
      </c>
      <c r="AB83">
        <f t="shared" si="81"/>
        <v>280864.57</v>
      </c>
      <c r="AC83">
        <f t="shared" si="101"/>
        <v>222479.25</v>
      </c>
      <c r="AD83">
        <f t="shared" si="102"/>
        <v>53736.02</v>
      </c>
      <c r="AE83">
        <f t="shared" si="103"/>
        <v>21215.13</v>
      </c>
      <c r="AF83">
        <f t="shared" si="103"/>
        <v>4649.3</v>
      </c>
      <c r="AG83">
        <f t="shared" si="83"/>
        <v>0</v>
      </c>
      <c r="AH83">
        <f t="shared" si="104"/>
        <v>24.84</v>
      </c>
      <c r="AI83">
        <f t="shared" si="104"/>
        <v>0</v>
      </c>
      <c r="AJ83">
        <f t="shared" si="85"/>
        <v>0</v>
      </c>
      <c r="AK83">
        <v>280864.57</v>
      </c>
      <c r="AL83">
        <v>222479.25</v>
      </c>
      <c r="AM83">
        <v>53736.02</v>
      </c>
      <c r="AN83">
        <v>21215.13</v>
      </c>
      <c r="AO83">
        <v>4649.3</v>
      </c>
      <c r="AP83">
        <v>0</v>
      </c>
      <c r="AQ83">
        <v>24.84</v>
      </c>
      <c r="AR83">
        <v>0</v>
      </c>
      <c r="AS83">
        <v>0</v>
      </c>
      <c r="AT83">
        <v>70</v>
      </c>
      <c r="AU83">
        <v>10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4</v>
      </c>
      <c r="BJ83" t="s">
        <v>59</v>
      </c>
      <c r="BM83">
        <v>0</v>
      </c>
      <c r="BN83">
        <v>0</v>
      </c>
      <c r="BO83" t="s">
        <v>3</v>
      </c>
      <c r="BP83">
        <v>0</v>
      </c>
      <c r="BQ83">
        <v>1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70</v>
      </c>
      <c r="CA83">
        <v>10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6"/>
        <v>1327253.6099999999</v>
      </c>
      <c r="CQ83">
        <f t="shared" si="87"/>
        <v>222479.25</v>
      </c>
      <c r="CR83">
        <f t="shared" si="105"/>
        <v>53736.02</v>
      </c>
      <c r="CS83">
        <f t="shared" si="88"/>
        <v>21215.13</v>
      </c>
      <c r="CT83">
        <f t="shared" si="89"/>
        <v>4649.3</v>
      </c>
      <c r="CU83">
        <f t="shared" si="90"/>
        <v>0</v>
      </c>
      <c r="CV83">
        <f t="shared" si="91"/>
        <v>24.84</v>
      </c>
      <c r="CW83">
        <f t="shared" si="92"/>
        <v>0</v>
      </c>
      <c r="CX83">
        <f t="shared" si="93"/>
        <v>0</v>
      </c>
      <c r="CY83">
        <f t="shared" si="94"/>
        <v>15379.510999999999</v>
      </c>
      <c r="CZ83">
        <f t="shared" si="95"/>
        <v>2197.0729999999999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1007</v>
      </c>
      <c r="DV83" t="s">
        <v>22</v>
      </c>
      <c r="DW83" t="s">
        <v>22</v>
      </c>
      <c r="DX83">
        <v>100</v>
      </c>
      <c r="EE83">
        <v>40658659</v>
      </c>
      <c r="EF83">
        <v>1</v>
      </c>
      <c r="EG83" t="s">
        <v>24</v>
      </c>
      <c r="EH83">
        <v>0</v>
      </c>
      <c r="EI83" t="s">
        <v>3</v>
      </c>
      <c r="EJ83">
        <v>4</v>
      </c>
      <c r="EK83">
        <v>0</v>
      </c>
      <c r="EL83" t="s">
        <v>25</v>
      </c>
      <c r="EM83" t="s">
        <v>26</v>
      </c>
      <c r="EO83" t="s">
        <v>3</v>
      </c>
      <c r="EQ83">
        <v>0</v>
      </c>
      <c r="ER83">
        <v>280864.57</v>
      </c>
      <c r="ES83">
        <v>222479.25</v>
      </c>
      <c r="ET83">
        <v>53736.02</v>
      </c>
      <c r="EU83">
        <v>21215.13</v>
      </c>
      <c r="EV83">
        <v>4649.3</v>
      </c>
      <c r="EW83">
        <v>24.84</v>
      </c>
      <c r="EX83">
        <v>0</v>
      </c>
      <c r="EY83">
        <v>0</v>
      </c>
      <c r="FQ83">
        <v>0</v>
      </c>
      <c r="FR83">
        <f t="shared" si="96"/>
        <v>0</v>
      </c>
      <c r="FS83">
        <v>0</v>
      </c>
      <c r="FX83">
        <v>70</v>
      </c>
      <c r="FY83">
        <v>10</v>
      </c>
      <c r="GA83" t="s">
        <v>3</v>
      </c>
      <c r="GD83">
        <v>0</v>
      </c>
      <c r="GF83">
        <v>-967976254</v>
      </c>
      <c r="GG83">
        <v>2</v>
      </c>
      <c r="GH83">
        <v>1</v>
      </c>
      <c r="GI83">
        <v>-2</v>
      </c>
      <c r="GJ83">
        <v>0</v>
      </c>
      <c r="GK83">
        <f>ROUND(R83*(R12)/100,2)</f>
        <v>108274.56</v>
      </c>
      <c r="GL83">
        <f t="shared" si="97"/>
        <v>0</v>
      </c>
      <c r="GM83">
        <f t="shared" si="106"/>
        <v>1453104.75</v>
      </c>
      <c r="GN83">
        <f t="shared" si="107"/>
        <v>0</v>
      </c>
      <c r="GO83">
        <f t="shared" si="108"/>
        <v>0</v>
      </c>
      <c r="GP83">
        <f t="shared" si="109"/>
        <v>1453104.75</v>
      </c>
      <c r="GR83">
        <v>0</v>
      </c>
      <c r="GS83">
        <v>3</v>
      </c>
      <c r="GT83">
        <v>0</v>
      </c>
      <c r="GU83" t="s">
        <v>3</v>
      </c>
      <c r="GV83">
        <f t="shared" si="98"/>
        <v>0</v>
      </c>
      <c r="GW83">
        <v>1</v>
      </c>
      <c r="GX83">
        <f t="shared" si="99"/>
        <v>0</v>
      </c>
      <c r="HA83">
        <v>0</v>
      </c>
      <c r="HB83">
        <v>0</v>
      </c>
      <c r="HC83">
        <f t="shared" si="100"/>
        <v>0</v>
      </c>
      <c r="IK83">
        <v>0</v>
      </c>
    </row>
    <row r="84" spans="1:245" x14ac:dyDescent="0.2">
      <c r="A84">
        <v>17</v>
      </c>
      <c r="B84">
        <v>1</v>
      </c>
      <c r="C84">
        <f>ROW(SmtRes!A58)</f>
        <v>58</v>
      </c>
      <c r="D84">
        <f>ROW(EtalonRes!A56)</f>
        <v>56</v>
      </c>
      <c r="E84" t="s">
        <v>136</v>
      </c>
      <c r="F84" t="s">
        <v>61</v>
      </c>
      <c r="G84" t="s">
        <v>137</v>
      </c>
      <c r="H84" t="s">
        <v>63</v>
      </c>
      <c r="I84">
        <v>24</v>
      </c>
      <c r="J84">
        <v>0</v>
      </c>
      <c r="O84">
        <f t="shared" si="70"/>
        <v>575205.6</v>
      </c>
      <c r="P84">
        <f t="shared" si="71"/>
        <v>491732.4</v>
      </c>
      <c r="Q84">
        <f t="shared" si="72"/>
        <v>26953.439999999999</v>
      </c>
      <c r="R84">
        <f t="shared" si="73"/>
        <v>11321.28</v>
      </c>
      <c r="S84">
        <f t="shared" si="74"/>
        <v>56519.76</v>
      </c>
      <c r="T84">
        <f t="shared" si="75"/>
        <v>0</v>
      </c>
      <c r="U84">
        <f t="shared" si="76"/>
        <v>247.20000000000002</v>
      </c>
      <c r="V84">
        <f t="shared" si="77"/>
        <v>0</v>
      </c>
      <c r="W84">
        <f t="shared" si="78"/>
        <v>0</v>
      </c>
      <c r="X84">
        <f t="shared" si="79"/>
        <v>39563.83</v>
      </c>
      <c r="Y84">
        <f t="shared" si="80"/>
        <v>5651.98</v>
      </c>
      <c r="AA84">
        <v>42184655</v>
      </c>
      <c r="AB84">
        <f t="shared" si="81"/>
        <v>23966.9</v>
      </c>
      <c r="AC84">
        <f t="shared" si="101"/>
        <v>20488.849999999999</v>
      </c>
      <c r="AD84">
        <f t="shared" si="102"/>
        <v>1123.06</v>
      </c>
      <c r="AE84">
        <f t="shared" si="103"/>
        <v>471.72</v>
      </c>
      <c r="AF84">
        <f t="shared" si="103"/>
        <v>2354.9899999999998</v>
      </c>
      <c r="AG84">
        <f t="shared" si="83"/>
        <v>0</v>
      </c>
      <c r="AH84">
        <f t="shared" si="104"/>
        <v>10.3</v>
      </c>
      <c r="AI84">
        <f t="shared" si="104"/>
        <v>0</v>
      </c>
      <c r="AJ84">
        <f t="shared" si="85"/>
        <v>0</v>
      </c>
      <c r="AK84">
        <v>23966.9</v>
      </c>
      <c r="AL84">
        <v>20488.849999999999</v>
      </c>
      <c r="AM84">
        <v>1123.06</v>
      </c>
      <c r="AN84">
        <v>471.72</v>
      </c>
      <c r="AO84">
        <v>2354.9899999999998</v>
      </c>
      <c r="AP84">
        <v>0</v>
      </c>
      <c r="AQ84">
        <v>10.3</v>
      </c>
      <c r="AR84">
        <v>0</v>
      </c>
      <c r="AS84">
        <v>0</v>
      </c>
      <c r="AT84">
        <v>70</v>
      </c>
      <c r="AU84">
        <v>10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4</v>
      </c>
      <c r="BJ84" t="s">
        <v>64</v>
      </c>
      <c r="BM84">
        <v>0</v>
      </c>
      <c r="BN84">
        <v>0</v>
      </c>
      <c r="BO84" t="s">
        <v>3</v>
      </c>
      <c r="BP84">
        <v>0</v>
      </c>
      <c r="BQ84">
        <v>1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70</v>
      </c>
      <c r="CA84">
        <v>10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86"/>
        <v>575205.6</v>
      </c>
      <c r="CQ84">
        <f t="shared" si="87"/>
        <v>20488.849999999999</v>
      </c>
      <c r="CR84">
        <f t="shared" si="105"/>
        <v>1123.06</v>
      </c>
      <c r="CS84">
        <f t="shared" si="88"/>
        <v>471.72</v>
      </c>
      <c r="CT84">
        <f t="shared" si="89"/>
        <v>2354.9899999999998</v>
      </c>
      <c r="CU84">
        <f t="shared" si="90"/>
        <v>0</v>
      </c>
      <c r="CV84">
        <f t="shared" si="91"/>
        <v>10.3</v>
      </c>
      <c r="CW84">
        <f t="shared" si="92"/>
        <v>0</v>
      </c>
      <c r="CX84">
        <f t="shared" si="93"/>
        <v>0</v>
      </c>
      <c r="CY84">
        <f t="shared" si="94"/>
        <v>39563.832000000002</v>
      </c>
      <c r="CZ84">
        <f t="shared" si="95"/>
        <v>5651.9759999999997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1005</v>
      </c>
      <c r="DV84" t="s">
        <v>63</v>
      </c>
      <c r="DW84" t="s">
        <v>63</v>
      </c>
      <c r="DX84">
        <v>100</v>
      </c>
      <c r="EE84">
        <v>40658659</v>
      </c>
      <c r="EF84">
        <v>1</v>
      </c>
      <c r="EG84" t="s">
        <v>24</v>
      </c>
      <c r="EH84">
        <v>0</v>
      </c>
      <c r="EI84" t="s">
        <v>3</v>
      </c>
      <c r="EJ84">
        <v>4</v>
      </c>
      <c r="EK84">
        <v>0</v>
      </c>
      <c r="EL84" t="s">
        <v>25</v>
      </c>
      <c r="EM84" t="s">
        <v>26</v>
      </c>
      <c r="EO84" t="s">
        <v>3</v>
      </c>
      <c r="EQ84">
        <v>0</v>
      </c>
      <c r="ER84">
        <v>23966.9</v>
      </c>
      <c r="ES84">
        <v>20488.849999999999</v>
      </c>
      <c r="ET84">
        <v>1123.06</v>
      </c>
      <c r="EU84">
        <v>471.72</v>
      </c>
      <c r="EV84">
        <v>2354.9899999999998</v>
      </c>
      <c r="EW84">
        <v>10.3</v>
      </c>
      <c r="EX84">
        <v>0</v>
      </c>
      <c r="EY84">
        <v>0</v>
      </c>
      <c r="FQ84">
        <v>0</v>
      </c>
      <c r="FR84">
        <f t="shared" si="96"/>
        <v>0</v>
      </c>
      <c r="FS84">
        <v>0</v>
      </c>
      <c r="FX84">
        <v>70</v>
      </c>
      <c r="FY84">
        <v>10</v>
      </c>
      <c r="GA84" t="s">
        <v>3</v>
      </c>
      <c r="GD84">
        <v>0</v>
      </c>
      <c r="GF84">
        <v>-1278825473</v>
      </c>
      <c r="GG84">
        <v>2</v>
      </c>
      <c r="GH84">
        <v>1</v>
      </c>
      <c r="GI84">
        <v>-2</v>
      </c>
      <c r="GJ84">
        <v>0</v>
      </c>
      <c r="GK84">
        <f>ROUND(R84*(R12)/100,2)</f>
        <v>12226.98</v>
      </c>
      <c r="GL84">
        <f t="shared" si="97"/>
        <v>0</v>
      </c>
      <c r="GM84">
        <f t="shared" si="106"/>
        <v>632648.39</v>
      </c>
      <c r="GN84">
        <f t="shared" si="107"/>
        <v>0</v>
      </c>
      <c r="GO84">
        <f t="shared" si="108"/>
        <v>0</v>
      </c>
      <c r="GP84">
        <f t="shared" si="109"/>
        <v>632648.39</v>
      </c>
      <c r="GR84">
        <v>0</v>
      </c>
      <c r="GS84">
        <v>3</v>
      </c>
      <c r="GT84">
        <v>0</v>
      </c>
      <c r="GU84" t="s">
        <v>3</v>
      </c>
      <c r="GV84">
        <f t="shared" si="98"/>
        <v>0</v>
      </c>
      <c r="GW84">
        <v>1</v>
      </c>
      <c r="GX84">
        <f t="shared" si="99"/>
        <v>0</v>
      </c>
      <c r="HA84">
        <v>0</v>
      </c>
      <c r="HB84">
        <v>0</v>
      </c>
      <c r="HC84">
        <f t="shared" si="100"/>
        <v>0</v>
      </c>
      <c r="IK84">
        <v>0</v>
      </c>
    </row>
    <row r="85" spans="1:245" x14ac:dyDescent="0.2">
      <c r="A85">
        <v>18</v>
      </c>
      <c r="B85">
        <v>1</v>
      </c>
      <c r="C85">
        <v>57</v>
      </c>
      <c r="E85" t="s">
        <v>138</v>
      </c>
      <c r="F85" t="s">
        <v>66</v>
      </c>
      <c r="G85" t="s">
        <v>67</v>
      </c>
      <c r="H85" t="s">
        <v>68</v>
      </c>
      <c r="I85">
        <f>I84*J85</f>
        <v>-171.35999999999999</v>
      </c>
      <c r="J85">
        <v>-7.14</v>
      </c>
      <c r="O85">
        <f t="shared" si="70"/>
        <v>-454453.57</v>
      </c>
      <c r="P85">
        <f t="shared" si="71"/>
        <v>-454453.57</v>
      </c>
      <c r="Q85">
        <f t="shared" si="72"/>
        <v>0</v>
      </c>
      <c r="R85">
        <f t="shared" si="73"/>
        <v>0</v>
      </c>
      <c r="S85">
        <f t="shared" si="74"/>
        <v>0</v>
      </c>
      <c r="T85">
        <f t="shared" si="75"/>
        <v>0</v>
      </c>
      <c r="U85">
        <f t="shared" si="76"/>
        <v>0</v>
      </c>
      <c r="V85">
        <f t="shared" si="77"/>
        <v>0</v>
      </c>
      <c r="W85">
        <f t="shared" si="78"/>
        <v>0</v>
      </c>
      <c r="X85">
        <f t="shared" si="79"/>
        <v>0</v>
      </c>
      <c r="Y85">
        <f t="shared" si="80"/>
        <v>0</v>
      </c>
      <c r="AA85">
        <v>42184655</v>
      </c>
      <c r="AB85">
        <f t="shared" si="81"/>
        <v>2652.04</v>
      </c>
      <c r="AC85">
        <f t="shared" si="101"/>
        <v>2652.04</v>
      </c>
      <c r="AD85">
        <f t="shared" si="102"/>
        <v>0</v>
      </c>
      <c r="AE85">
        <f t="shared" si="103"/>
        <v>0</v>
      </c>
      <c r="AF85">
        <f t="shared" si="103"/>
        <v>0</v>
      </c>
      <c r="AG85">
        <f t="shared" si="83"/>
        <v>0</v>
      </c>
      <c r="AH85">
        <f t="shared" si="104"/>
        <v>0</v>
      </c>
      <c r="AI85">
        <f t="shared" si="104"/>
        <v>0</v>
      </c>
      <c r="AJ85">
        <f t="shared" si="85"/>
        <v>0</v>
      </c>
      <c r="AK85">
        <v>2652.04</v>
      </c>
      <c r="AL85">
        <v>2652.04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70</v>
      </c>
      <c r="AU85">
        <v>10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4</v>
      </c>
      <c r="BJ85" t="s">
        <v>69</v>
      </c>
      <c r="BM85">
        <v>0</v>
      </c>
      <c r="BN85">
        <v>0</v>
      </c>
      <c r="BO85" t="s">
        <v>3</v>
      </c>
      <c r="BP85">
        <v>0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70</v>
      </c>
      <c r="CA85">
        <v>10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6"/>
        <v>-454453.57</v>
      </c>
      <c r="CQ85">
        <f t="shared" si="87"/>
        <v>2652.04</v>
      </c>
      <c r="CR85">
        <f t="shared" si="105"/>
        <v>0</v>
      </c>
      <c r="CS85">
        <f t="shared" si="88"/>
        <v>0</v>
      </c>
      <c r="CT85">
        <f t="shared" si="89"/>
        <v>0</v>
      </c>
      <c r="CU85">
        <f t="shared" si="90"/>
        <v>0</v>
      </c>
      <c r="CV85">
        <f t="shared" si="91"/>
        <v>0</v>
      </c>
      <c r="CW85">
        <f t="shared" si="92"/>
        <v>0</v>
      </c>
      <c r="CX85">
        <f t="shared" si="93"/>
        <v>0</v>
      </c>
      <c r="CY85">
        <f t="shared" si="94"/>
        <v>0</v>
      </c>
      <c r="CZ85">
        <f t="shared" si="95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68</v>
      </c>
      <c r="DW85" t="s">
        <v>68</v>
      </c>
      <c r="DX85">
        <v>1000</v>
      </c>
      <c r="EE85">
        <v>40658659</v>
      </c>
      <c r="EF85">
        <v>1</v>
      </c>
      <c r="EG85" t="s">
        <v>24</v>
      </c>
      <c r="EH85">
        <v>0</v>
      </c>
      <c r="EI85" t="s">
        <v>3</v>
      </c>
      <c r="EJ85">
        <v>4</v>
      </c>
      <c r="EK85">
        <v>0</v>
      </c>
      <c r="EL85" t="s">
        <v>25</v>
      </c>
      <c r="EM85" t="s">
        <v>26</v>
      </c>
      <c r="EO85" t="s">
        <v>3</v>
      </c>
      <c r="EQ85">
        <v>32768</v>
      </c>
      <c r="ER85">
        <v>2652.04</v>
      </c>
      <c r="ES85">
        <v>2652.04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96"/>
        <v>0</v>
      </c>
      <c r="FS85">
        <v>0</v>
      </c>
      <c r="FX85">
        <v>70</v>
      </c>
      <c r="FY85">
        <v>10</v>
      </c>
      <c r="GA85" t="s">
        <v>3</v>
      </c>
      <c r="GD85">
        <v>0</v>
      </c>
      <c r="GF85">
        <v>-740831190</v>
      </c>
      <c r="GG85">
        <v>2</v>
      </c>
      <c r="GH85">
        <v>1</v>
      </c>
      <c r="GI85">
        <v>-2</v>
      </c>
      <c r="GJ85">
        <v>0</v>
      </c>
      <c r="GK85">
        <f>ROUND(R85*(R12)/100,2)</f>
        <v>0</v>
      </c>
      <c r="GL85">
        <f t="shared" si="97"/>
        <v>0</v>
      </c>
      <c r="GM85">
        <f t="shared" si="106"/>
        <v>-454453.57</v>
      </c>
      <c r="GN85">
        <f t="shared" si="107"/>
        <v>0</v>
      </c>
      <c r="GO85">
        <f t="shared" si="108"/>
        <v>0</v>
      </c>
      <c r="GP85">
        <f t="shared" si="109"/>
        <v>-454453.57</v>
      </c>
      <c r="GR85">
        <v>0</v>
      </c>
      <c r="GS85">
        <v>3</v>
      </c>
      <c r="GT85">
        <v>0</v>
      </c>
      <c r="GU85" t="s">
        <v>3</v>
      </c>
      <c r="GV85">
        <f t="shared" si="98"/>
        <v>0</v>
      </c>
      <c r="GW85">
        <v>1</v>
      </c>
      <c r="GX85">
        <f t="shared" si="99"/>
        <v>0</v>
      </c>
      <c r="HA85">
        <v>0</v>
      </c>
      <c r="HB85">
        <v>0</v>
      </c>
      <c r="HC85">
        <f t="shared" si="100"/>
        <v>0</v>
      </c>
      <c r="IK85">
        <v>0</v>
      </c>
    </row>
    <row r="86" spans="1:245" x14ac:dyDescent="0.2">
      <c r="A86">
        <v>18</v>
      </c>
      <c r="B86">
        <v>1</v>
      </c>
      <c r="C86">
        <v>58</v>
      </c>
      <c r="E86" t="s">
        <v>139</v>
      </c>
      <c r="F86" t="s">
        <v>66</v>
      </c>
      <c r="G86" t="s">
        <v>67</v>
      </c>
      <c r="H86" t="s">
        <v>68</v>
      </c>
      <c r="I86">
        <f>I84*J86</f>
        <v>285.59999999999997</v>
      </c>
      <c r="J86">
        <v>11.899999999999999</v>
      </c>
      <c r="O86">
        <f t="shared" si="70"/>
        <v>757422.62</v>
      </c>
      <c r="P86">
        <f t="shared" si="71"/>
        <v>757422.62</v>
      </c>
      <c r="Q86">
        <f t="shared" si="72"/>
        <v>0</v>
      </c>
      <c r="R86">
        <f t="shared" si="73"/>
        <v>0</v>
      </c>
      <c r="S86">
        <f t="shared" si="74"/>
        <v>0</v>
      </c>
      <c r="T86">
        <f t="shared" si="75"/>
        <v>0</v>
      </c>
      <c r="U86">
        <f t="shared" si="76"/>
        <v>0</v>
      </c>
      <c r="V86">
        <f t="shared" si="77"/>
        <v>0</v>
      </c>
      <c r="W86">
        <f t="shared" si="78"/>
        <v>0</v>
      </c>
      <c r="X86">
        <f t="shared" si="79"/>
        <v>0</v>
      </c>
      <c r="Y86">
        <f t="shared" si="80"/>
        <v>0</v>
      </c>
      <c r="AA86">
        <v>42184655</v>
      </c>
      <c r="AB86">
        <f t="shared" si="81"/>
        <v>2652.04</v>
      </c>
      <c r="AC86">
        <f t="shared" si="101"/>
        <v>2652.04</v>
      </c>
      <c r="AD86">
        <f t="shared" si="102"/>
        <v>0</v>
      </c>
      <c r="AE86">
        <f t="shared" si="103"/>
        <v>0</v>
      </c>
      <c r="AF86">
        <f t="shared" si="103"/>
        <v>0</v>
      </c>
      <c r="AG86">
        <f t="shared" si="83"/>
        <v>0</v>
      </c>
      <c r="AH86">
        <f t="shared" si="104"/>
        <v>0</v>
      </c>
      <c r="AI86">
        <f t="shared" si="104"/>
        <v>0</v>
      </c>
      <c r="AJ86">
        <f t="shared" si="85"/>
        <v>0</v>
      </c>
      <c r="AK86">
        <v>2652.04</v>
      </c>
      <c r="AL86">
        <v>2652.04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70</v>
      </c>
      <c r="AU86">
        <v>10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4</v>
      </c>
      <c r="BJ86" t="s">
        <v>69</v>
      </c>
      <c r="BM86">
        <v>0</v>
      </c>
      <c r="BN86">
        <v>0</v>
      </c>
      <c r="BO86" t="s">
        <v>3</v>
      </c>
      <c r="BP86">
        <v>0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70</v>
      </c>
      <c r="CA86">
        <v>10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86"/>
        <v>757422.62</v>
      </c>
      <c r="CQ86">
        <f t="shared" si="87"/>
        <v>2652.04</v>
      </c>
      <c r="CR86">
        <f t="shared" si="105"/>
        <v>0</v>
      </c>
      <c r="CS86">
        <f t="shared" si="88"/>
        <v>0</v>
      </c>
      <c r="CT86">
        <f t="shared" si="89"/>
        <v>0</v>
      </c>
      <c r="CU86">
        <f t="shared" si="90"/>
        <v>0</v>
      </c>
      <c r="CV86">
        <f t="shared" si="91"/>
        <v>0</v>
      </c>
      <c r="CW86">
        <f t="shared" si="92"/>
        <v>0</v>
      </c>
      <c r="CX86">
        <f t="shared" si="93"/>
        <v>0</v>
      </c>
      <c r="CY86">
        <f t="shared" si="94"/>
        <v>0</v>
      </c>
      <c r="CZ86">
        <f t="shared" si="95"/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1009</v>
      </c>
      <c r="DV86" t="s">
        <v>68</v>
      </c>
      <c r="DW86" t="s">
        <v>68</v>
      </c>
      <c r="DX86">
        <v>1000</v>
      </c>
      <c r="EE86">
        <v>40658659</v>
      </c>
      <c r="EF86">
        <v>1</v>
      </c>
      <c r="EG86" t="s">
        <v>24</v>
      </c>
      <c r="EH86">
        <v>0</v>
      </c>
      <c r="EI86" t="s">
        <v>3</v>
      </c>
      <c r="EJ86">
        <v>4</v>
      </c>
      <c r="EK86">
        <v>0</v>
      </c>
      <c r="EL86" t="s">
        <v>25</v>
      </c>
      <c r="EM86" t="s">
        <v>26</v>
      </c>
      <c r="EO86" t="s">
        <v>3</v>
      </c>
      <c r="EQ86">
        <v>32768</v>
      </c>
      <c r="ER86">
        <v>2652.04</v>
      </c>
      <c r="ES86">
        <v>2652.04</v>
      </c>
      <c r="ET86">
        <v>0</v>
      </c>
      <c r="EU86">
        <v>0</v>
      </c>
      <c r="EV86">
        <v>0</v>
      </c>
      <c r="EW86">
        <v>0</v>
      </c>
      <c r="EX86">
        <v>0</v>
      </c>
      <c r="FQ86">
        <v>0</v>
      </c>
      <c r="FR86">
        <f t="shared" si="96"/>
        <v>0</v>
      </c>
      <c r="FS86">
        <v>0</v>
      </c>
      <c r="FX86">
        <v>70</v>
      </c>
      <c r="FY86">
        <v>10</v>
      </c>
      <c r="GA86" t="s">
        <v>3</v>
      </c>
      <c r="GD86">
        <v>0</v>
      </c>
      <c r="GF86">
        <v>-740831190</v>
      </c>
      <c r="GG86">
        <v>2</v>
      </c>
      <c r="GH86">
        <v>1</v>
      </c>
      <c r="GI86">
        <v>-2</v>
      </c>
      <c r="GJ86">
        <v>0</v>
      </c>
      <c r="GK86">
        <f>ROUND(R86*(R12)/100,2)</f>
        <v>0</v>
      </c>
      <c r="GL86">
        <f t="shared" si="97"/>
        <v>0</v>
      </c>
      <c r="GM86">
        <f t="shared" si="106"/>
        <v>757422.62</v>
      </c>
      <c r="GN86">
        <f t="shared" si="107"/>
        <v>0</v>
      </c>
      <c r="GO86">
        <f t="shared" si="108"/>
        <v>0</v>
      </c>
      <c r="GP86">
        <f t="shared" si="109"/>
        <v>757422.62</v>
      </c>
      <c r="GR86">
        <v>0</v>
      </c>
      <c r="GS86">
        <v>3</v>
      </c>
      <c r="GT86">
        <v>0</v>
      </c>
      <c r="GU86" t="s">
        <v>3</v>
      </c>
      <c r="GV86">
        <f t="shared" si="98"/>
        <v>0</v>
      </c>
      <c r="GW86">
        <v>1</v>
      </c>
      <c r="GX86">
        <f t="shared" si="99"/>
        <v>0</v>
      </c>
      <c r="HA86">
        <v>0</v>
      </c>
      <c r="HB86">
        <v>0</v>
      </c>
      <c r="HC86">
        <f t="shared" si="100"/>
        <v>0</v>
      </c>
      <c r="IK86">
        <v>0</v>
      </c>
    </row>
    <row r="88" spans="1:245" x14ac:dyDescent="0.2">
      <c r="A88" s="2">
        <v>51</v>
      </c>
      <c r="B88" s="2">
        <f>B72</f>
        <v>1</v>
      </c>
      <c r="C88" s="2">
        <f>A72</f>
        <v>4</v>
      </c>
      <c r="D88" s="2">
        <f>ROW(A72)</f>
        <v>72</v>
      </c>
      <c r="E88" s="2"/>
      <c r="F88" s="2" t="str">
        <f>IF(F72&lt;&gt;"",F72,"")</f>
        <v>Новый раздел</v>
      </c>
      <c r="G88" s="2" t="str">
        <f>IF(G72&lt;&gt;"",G72,"")</f>
        <v xml:space="preserve">Раздел 10.1 . Устройство новых оснований площадок (детские, спортивные, воркаут) АБП </v>
      </c>
      <c r="H88" s="2">
        <v>0</v>
      </c>
      <c r="I88" s="2"/>
      <c r="J88" s="2"/>
      <c r="K88" s="2"/>
      <c r="L88" s="2"/>
      <c r="M88" s="2"/>
      <c r="N88" s="2"/>
      <c r="O88" s="2">
        <f t="shared" ref="O88:T88" si="110">ROUND(AB88,2)</f>
        <v>4232632.16</v>
      </c>
      <c r="P88" s="2">
        <f t="shared" si="110"/>
        <v>2456354.2000000002</v>
      </c>
      <c r="Q88" s="2">
        <f t="shared" si="110"/>
        <v>1615987.14</v>
      </c>
      <c r="R88" s="2">
        <f t="shared" si="110"/>
        <v>814386.95</v>
      </c>
      <c r="S88" s="2">
        <f t="shared" si="110"/>
        <v>160290.82</v>
      </c>
      <c r="T88" s="2">
        <f t="shared" si="110"/>
        <v>0</v>
      </c>
      <c r="U88" s="2">
        <f>AH88</f>
        <v>802.04266080000002</v>
      </c>
      <c r="V88" s="2">
        <f>AI88</f>
        <v>0</v>
      </c>
      <c r="W88" s="2">
        <f>ROUND(AJ88,2)</f>
        <v>0</v>
      </c>
      <c r="X88" s="2">
        <f>ROUND(AK88,2)</f>
        <v>112203.57</v>
      </c>
      <c r="Y88" s="2">
        <f>ROUND(AL88,2)</f>
        <v>16029.08</v>
      </c>
      <c r="Z88" s="2"/>
      <c r="AA88" s="2"/>
      <c r="AB88" s="2">
        <f>ROUND(SUMIF(AA76:AA86,"=42184655",O76:O86),2)</f>
        <v>4232632.16</v>
      </c>
      <c r="AC88" s="2">
        <f>ROUND(SUMIF(AA76:AA86,"=42184655",P76:P86),2)</f>
        <v>2456354.2000000002</v>
      </c>
      <c r="AD88" s="2">
        <f>ROUND(SUMIF(AA76:AA86,"=42184655",Q76:Q86),2)</f>
        <v>1615987.14</v>
      </c>
      <c r="AE88" s="2">
        <f>ROUND(SUMIF(AA76:AA86,"=42184655",R76:R86),2)</f>
        <v>814386.95</v>
      </c>
      <c r="AF88" s="2">
        <f>ROUND(SUMIF(AA76:AA86,"=42184655",S76:S86),2)</f>
        <v>160290.82</v>
      </c>
      <c r="AG88" s="2">
        <f>ROUND(SUMIF(AA76:AA86,"=42184655",T76:T86),2)</f>
        <v>0</v>
      </c>
      <c r="AH88" s="2">
        <f>SUMIF(AA76:AA86,"=42184655",U76:U86)</f>
        <v>802.04266080000002</v>
      </c>
      <c r="AI88" s="2">
        <f>SUMIF(AA76:AA86,"=42184655",V76:V86)</f>
        <v>0</v>
      </c>
      <c r="AJ88" s="2">
        <f>ROUND(SUMIF(AA76:AA86,"=42184655",W76:W86),2)</f>
        <v>0</v>
      </c>
      <c r="AK88" s="2">
        <f>ROUND(SUMIF(AA76:AA86,"=42184655",X76:X86),2)</f>
        <v>112203.57</v>
      </c>
      <c r="AL88" s="2">
        <f>ROUND(SUMIF(AA76:AA86,"=42184655",Y76:Y86),2)</f>
        <v>16029.08</v>
      </c>
      <c r="AM88" s="2"/>
      <c r="AN88" s="2"/>
      <c r="AO88" s="2">
        <f t="shared" ref="AO88:BC88" si="111">ROUND(BX88,2)</f>
        <v>0</v>
      </c>
      <c r="AP88" s="2">
        <f t="shared" si="111"/>
        <v>0</v>
      </c>
      <c r="AQ88" s="2">
        <f t="shared" si="111"/>
        <v>0</v>
      </c>
      <c r="AR88" s="2">
        <f t="shared" si="111"/>
        <v>4549006.22</v>
      </c>
      <c r="AS88" s="2">
        <f t="shared" si="111"/>
        <v>190139.91</v>
      </c>
      <c r="AT88" s="2">
        <f t="shared" si="111"/>
        <v>0</v>
      </c>
      <c r="AU88" s="2">
        <f t="shared" si="111"/>
        <v>4358866.3099999996</v>
      </c>
      <c r="AV88" s="2">
        <f t="shared" si="111"/>
        <v>2456354.2000000002</v>
      </c>
      <c r="AW88" s="2">
        <f t="shared" si="111"/>
        <v>2456354.2000000002</v>
      </c>
      <c r="AX88" s="2">
        <f t="shared" si="111"/>
        <v>0</v>
      </c>
      <c r="AY88" s="2">
        <f t="shared" si="111"/>
        <v>2456354.2000000002</v>
      </c>
      <c r="AZ88" s="2">
        <f t="shared" si="111"/>
        <v>0</v>
      </c>
      <c r="BA88" s="2">
        <f t="shared" si="111"/>
        <v>0</v>
      </c>
      <c r="BB88" s="2">
        <f t="shared" si="111"/>
        <v>0</v>
      </c>
      <c r="BC88" s="2">
        <f t="shared" si="111"/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>
        <f>ROUND(SUMIF(AA76:AA86,"=42184655",FQ76:FQ86),2)</f>
        <v>0</v>
      </c>
      <c r="BY88" s="2">
        <f>ROUND(SUMIF(AA76:AA86,"=42184655",FR76:FR86),2)</f>
        <v>0</v>
      </c>
      <c r="BZ88" s="2">
        <f>ROUND(SUMIF(AA76:AA86,"=42184655",GL76:GL86),2)</f>
        <v>0</v>
      </c>
      <c r="CA88" s="2">
        <f>ROUND(SUMIF(AA76:AA86,"=42184655",GM76:GM86),2)</f>
        <v>4549006.22</v>
      </c>
      <c r="CB88" s="2">
        <f>ROUND(SUMIF(AA76:AA86,"=42184655",GN76:GN86),2)</f>
        <v>190139.91</v>
      </c>
      <c r="CC88" s="2">
        <f>ROUND(SUMIF(AA76:AA86,"=42184655",GO76:GO86),2)</f>
        <v>0</v>
      </c>
      <c r="CD88" s="2">
        <f>ROUND(SUMIF(AA76:AA86,"=42184655",GP76:GP86),2)</f>
        <v>4358866.3099999996</v>
      </c>
      <c r="CE88" s="2">
        <f>AC88-BX88</f>
        <v>2456354.2000000002</v>
      </c>
      <c r="CF88" s="2">
        <f>AC88-BY88</f>
        <v>2456354.2000000002</v>
      </c>
      <c r="CG88" s="2">
        <f>BX88-BZ88</f>
        <v>0</v>
      </c>
      <c r="CH88" s="2">
        <f>AC88-BX88-BY88+BZ88</f>
        <v>2456354.2000000002</v>
      </c>
      <c r="CI88" s="2">
        <f>BY88-BZ88</f>
        <v>0</v>
      </c>
      <c r="CJ88" s="2">
        <f>ROUND(SUMIF(AA76:AA86,"=42184655",GX76:GX86),2)</f>
        <v>0</v>
      </c>
      <c r="CK88" s="2">
        <f>ROUND(SUMIF(AA76:AA86,"=42184655",GY76:GY86),2)</f>
        <v>0</v>
      </c>
      <c r="CL88" s="2">
        <f>ROUND(SUMIF(AA76:AA86,"=42184655",GZ76:GZ86),2)</f>
        <v>0</v>
      </c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>
        <v>0</v>
      </c>
    </row>
    <row r="90" spans="1:245" x14ac:dyDescent="0.2">
      <c r="A90" s="4">
        <v>50</v>
      </c>
      <c r="B90" s="4">
        <v>0</v>
      </c>
      <c r="C90" s="4">
        <v>0</v>
      </c>
      <c r="D90" s="4">
        <v>1</v>
      </c>
      <c r="E90" s="4">
        <v>201</v>
      </c>
      <c r="F90" s="4">
        <f>ROUND(Source!O88,O90)</f>
        <v>4232632.16</v>
      </c>
      <c r="G90" s="4" t="s">
        <v>71</v>
      </c>
      <c r="H90" s="4" t="s">
        <v>72</v>
      </c>
      <c r="I90" s="4"/>
      <c r="J90" s="4"/>
      <c r="K90" s="4">
        <v>201</v>
      </c>
      <c r="L90" s="4">
        <v>1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 x14ac:dyDescent="0.2">
      <c r="A91" s="4">
        <v>50</v>
      </c>
      <c r="B91" s="4">
        <v>0</v>
      </c>
      <c r="C91" s="4">
        <v>0</v>
      </c>
      <c r="D91" s="4">
        <v>1</v>
      </c>
      <c r="E91" s="4">
        <v>202</v>
      </c>
      <c r="F91" s="4">
        <f>ROUND(Source!P88,O91)</f>
        <v>2456354.2000000002</v>
      </c>
      <c r="G91" s="4" t="s">
        <v>73</v>
      </c>
      <c r="H91" s="4" t="s">
        <v>74</v>
      </c>
      <c r="I91" s="4"/>
      <c r="J91" s="4"/>
      <c r="K91" s="4">
        <v>202</v>
      </c>
      <c r="L91" s="4">
        <v>2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 x14ac:dyDescent="0.2">
      <c r="A92" s="4">
        <v>50</v>
      </c>
      <c r="B92" s="4">
        <v>0</v>
      </c>
      <c r="C92" s="4">
        <v>0</v>
      </c>
      <c r="D92" s="4">
        <v>1</v>
      </c>
      <c r="E92" s="4">
        <v>222</v>
      </c>
      <c r="F92" s="4">
        <f>ROUND(Source!AO88,O92)</f>
        <v>0</v>
      </c>
      <c r="G92" s="4" t="s">
        <v>75</v>
      </c>
      <c r="H92" s="4" t="s">
        <v>76</v>
      </c>
      <c r="I92" s="4"/>
      <c r="J92" s="4"/>
      <c r="K92" s="4">
        <v>222</v>
      </c>
      <c r="L92" s="4">
        <v>3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 x14ac:dyDescent="0.2">
      <c r="A93" s="4">
        <v>50</v>
      </c>
      <c r="B93" s="4">
        <v>0</v>
      </c>
      <c r="C93" s="4">
        <v>0</v>
      </c>
      <c r="D93" s="4">
        <v>1</v>
      </c>
      <c r="E93" s="4">
        <v>225</v>
      </c>
      <c r="F93" s="4">
        <f>ROUND(Source!AV88,O93)</f>
        <v>2456354.2000000002</v>
      </c>
      <c r="G93" s="4" t="s">
        <v>77</v>
      </c>
      <c r="H93" s="4" t="s">
        <v>78</v>
      </c>
      <c r="I93" s="4"/>
      <c r="J93" s="4"/>
      <c r="K93" s="4">
        <v>225</v>
      </c>
      <c r="L93" s="4">
        <v>4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 x14ac:dyDescent="0.2">
      <c r="A94" s="4">
        <v>50</v>
      </c>
      <c r="B94" s="4">
        <v>0</v>
      </c>
      <c r="C94" s="4">
        <v>0</v>
      </c>
      <c r="D94" s="4">
        <v>1</v>
      </c>
      <c r="E94" s="4">
        <v>226</v>
      </c>
      <c r="F94" s="4">
        <f>ROUND(Source!AW88,O94)</f>
        <v>2456354.2000000002</v>
      </c>
      <c r="G94" s="4" t="s">
        <v>79</v>
      </c>
      <c r="H94" s="4" t="s">
        <v>80</v>
      </c>
      <c r="I94" s="4"/>
      <c r="J94" s="4"/>
      <c r="K94" s="4">
        <v>226</v>
      </c>
      <c r="L94" s="4">
        <v>5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 x14ac:dyDescent="0.2">
      <c r="A95" s="4">
        <v>50</v>
      </c>
      <c r="B95" s="4">
        <v>0</v>
      </c>
      <c r="C95" s="4">
        <v>0</v>
      </c>
      <c r="D95" s="4">
        <v>1</v>
      </c>
      <c r="E95" s="4">
        <v>227</v>
      </c>
      <c r="F95" s="4">
        <f>ROUND(Source!AX88,O95)</f>
        <v>0</v>
      </c>
      <c r="G95" s="4" t="s">
        <v>81</v>
      </c>
      <c r="H95" s="4" t="s">
        <v>82</v>
      </c>
      <c r="I95" s="4"/>
      <c r="J95" s="4"/>
      <c r="K95" s="4">
        <v>227</v>
      </c>
      <c r="L95" s="4">
        <v>6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 x14ac:dyDescent="0.2">
      <c r="A96" s="4">
        <v>50</v>
      </c>
      <c r="B96" s="4">
        <v>0</v>
      </c>
      <c r="C96" s="4">
        <v>0</v>
      </c>
      <c r="D96" s="4">
        <v>1</v>
      </c>
      <c r="E96" s="4">
        <v>228</v>
      </c>
      <c r="F96" s="4">
        <f>ROUND(Source!AY88,O96)</f>
        <v>2456354.2000000002</v>
      </c>
      <c r="G96" s="4" t="s">
        <v>83</v>
      </c>
      <c r="H96" s="4" t="s">
        <v>84</v>
      </c>
      <c r="I96" s="4"/>
      <c r="J96" s="4"/>
      <c r="K96" s="4">
        <v>228</v>
      </c>
      <c r="L96" s="4">
        <v>7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ROUND(Source!AP88,O97)</f>
        <v>0</v>
      </c>
      <c r="G97" s="4" t="s">
        <v>85</v>
      </c>
      <c r="H97" s="4" t="s">
        <v>86</v>
      </c>
      <c r="I97" s="4"/>
      <c r="J97" s="4"/>
      <c r="K97" s="4">
        <v>216</v>
      </c>
      <c r="L97" s="4">
        <v>8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ROUND(Source!AQ88,O98)</f>
        <v>0</v>
      </c>
      <c r="G98" s="4" t="s">
        <v>87</v>
      </c>
      <c r="H98" s="4" t="s">
        <v>88</v>
      </c>
      <c r="I98" s="4"/>
      <c r="J98" s="4"/>
      <c r="K98" s="4">
        <v>223</v>
      </c>
      <c r="L98" s="4">
        <v>9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229</v>
      </c>
      <c r="F99" s="4">
        <f>ROUND(Source!AZ88,O99)</f>
        <v>0</v>
      </c>
      <c r="G99" s="4" t="s">
        <v>89</v>
      </c>
      <c r="H99" s="4" t="s">
        <v>90</v>
      </c>
      <c r="I99" s="4"/>
      <c r="J99" s="4"/>
      <c r="K99" s="4">
        <v>229</v>
      </c>
      <c r="L99" s="4">
        <v>10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203</v>
      </c>
      <c r="F100" s="4">
        <f>ROUND(Source!Q88,O100)</f>
        <v>1615987.14</v>
      </c>
      <c r="G100" s="4" t="s">
        <v>91</v>
      </c>
      <c r="H100" s="4" t="s">
        <v>92</v>
      </c>
      <c r="I100" s="4"/>
      <c r="J100" s="4"/>
      <c r="K100" s="4">
        <v>203</v>
      </c>
      <c r="L100" s="4">
        <v>11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231</v>
      </c>
      <c r="F101" s="4">
        <f>ROUND(Source!BB88,O101)</f>
        <v>0</v>
      </c>
      <c r="G101" s="4" t="s">
        <v>93</v>
      </c>
      <c r="H101" s="4" t="s">
        <v>94</v>
      </c>
      <c r="I101" s="4"/>
      <c r="J101" s="4"/>
      <c r="K101" s="4">
        <v>231</v>
      </c>
      <c r="L101" s="4">
        <v>12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204</v>
      </c>
      <c r="F102" s="4">
        <f>ROUND(Source!R88,O102)</f>
        <v>814386.95</v>
      </c>
      <c r="G102" s="4" t="s">
        <v>95</v>
      </c>
      <c r="H102" s="4" t="s">
        <v>96</v>
      </c>
      <c r="I102" s="4"/>
      <c r="J102" s="4"/>
      <c r="K102" s="4">
        <v>204</v>
      </c>
      <c r="L102" s="4">
        <v>13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205</v>
      </c>
      <c r="F103" s="4">
        <f>ROUND(Source!S88,O103)</f>
        <v>160290.82</v>
      </c>
      <c r="G103" s="4" t="s">
        <v>97</v>
      </c>
      <c r="H103" s="4" t="s">
        <v>98</v>
      </c>
      <c r="I103" s="4"/>
      <c r="J103" s="4"/>
      <c r="K103" s="4">
        <v>205</v>
      </c>
      <c r="L103" s="4">
        <v>14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232</v>
      </c>
      <c r="F104" s="4">
        <f>ROUND(Source!BC88,O104)</f>
        <v>0</v>
      </c>
      <c r="G104" s="4" t="s">
        <v>99</v>
      </c>
      <c r="H104" s="4" t="s">
        <v>100</v>
      </c>
      <c r="I104" s="4"/>
      <c r="J104" s="4"/>
      <c r="K104" s="4">
        <v>232</v>
      </c>
      <c r="L104" s="4">
        <v>15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214</v>
      </c>
      <c r="F105" s="4">
        <f>ROUND(Source!AS88,O105)</f>
        <v>190139.91</v>
      </c>
      <c r="G105" s="4" t="s">
        <v>101</v>
      </c>
      <c r="H105" s="4" t="s">
        <v>102</v>
      </c>
      <c r="I105" s="4"/>
      <c r="J105" s="4"/>
      <c r="K105" s="4">
        <v>214</v>
      </c>
      <c r="L105" s="4">
        <v>16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215</v>
      </c>
      <c r="F106" s="4">
        <f>ROUND(Source!AT88,O106)</f>
        <v>0</v>
      </c>
      <c r="G106" s="4" t="s">
        <v>103</v>
      </c>
      <c r="H106" s="4" t="s">
        <v>104</v>
      </c>
      <c r="I106" s="4"/>
      <c r="J106" s="4"/>
      <c r="K106" s="4">
        <v>215</v>
      </c>
      <c r="L106" s="4">
        <v>17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217</v>
      </c>
      <c r="F107" s="4">
        <f>ROUND(Source!AU88,O107)</f>
        <v>4358866.3099999996</v>
      </c>
      <c r="G107" s="4" t="s">
        <v>105</v>
      </c>
      <c r="H107" s="4" t="s">
        <v>106</v>
      </c>
      <c r="I107" s="4"/>
      <c r="J107" s="4"/>
      <c r="K107" s="4">
        <v>217</v>
      </c>
      <c r="L107" s="4">
        <v>18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230</v>
      </c>
      <c r="F108" s="4">
        <f>ROUND(Source!BA88,O108)</f>
        <v>0</v>
      </c>
      <c r="G108" s="4" t="s">
        <v>107</v>
      </c>
      <c r="H108" s="4" t="s">
        <v>108</v>
      </c>
      <c r="I108" s="4"/>
      <c r="J108" s="4"/>
      <c r="K108" s="4">
        <v>230</v>
      </c>
      <c r="L108" s="4">
        <v>19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206</v>
      </c>
      <c r="F109" s="4">
        <f>ROUND(Source!T88,O109)</f>
        <v>0</v>
      </c>
      <c r="G109" s="4" t="s">
        <v>109</v>
      </c>
      <c r="H109" s="4" t="s">
        <v>110</v>
      </c>
      <c r="I109" s="4"/>
      <c r="J109" s="4"/>
      <c r="K109" s="4">
        <v>206</v>
      </c>
      <c r="L109" s="4">
        <v>20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207</v>
      </c>
      <c r="F110" s="4">
        <f>Source!U88</f>
        <v>802.04266080000002</v>
      </c>
      <c r="G110" s="4" t="s">
        <v>111</v>
      </c>
      <c r="H110" s="4" t="s">
        <v>112</v>
      </c>
      <c r="I110" s="4"/>
      <c r="J110" s="4"/>
      <c r="K110" s="4">
        <v>207</v>
      </c>
      <c r="L110" s="4">
        <v>21</v>
      </c>
      <c r="M110" s="4">
        <v>3</v>
      </c>
      <c r="N110" s="4" t="s">
        <v>3</v>
      </c>
      <c r="O110" s="4">
        <v>-1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0</v>
      </c>
      <c r="C111" s="4">
        <v>0</v>
      </c>
      <c r="D111" s="4">
        <v>1</v>
      </c>
      <c r="E111" s="4">
        <v>208</v>
      </c>
      <c r="F111" s="4">
        <f>Source!V88</f>
        <v>0</v>
      </c>
      <c r="G111" s="4" t="s">
        <v>113</v>
      </c>
      <c r="H111" s="4" t="s">
        <v>114</v>
      </c>
      <c r="I111" s="4"/>
      <c r="J111" s="4"/>
      <c r="K111" s="4">
        <v>208</v>
      </c>
      <c r="L111" s="4">
        <v>22</v>
      </c>
      <c r="M111" s="4">
        <v>3</v>
      </c>
      <c r="N111" s="4" t="s">
        <v>3</v>
      </c>
      <c r="O111" s="4">
        <v>-1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0</v>
      </c>
      <c r="C112" s="4">
        <v>0</v>
      </c>
      <c r="D112" s="4">
        <v>1</v>
      </c>
      <c r="E112" s="4">
        <v>209</v>
      </c>
      <c r="F112" s="4">
        <f>ROUND(Source!W88,O112)</f>
        <v>0</v>
      </c>
      <c r="G112" s="4" t="s">
        <v>115</v>
      </c>
      <c r="H112" s="4" t="s">
        <v>116</v>
      </c>
      <c r="I112" s="4"/>
      <c r="J112" s="4"/>
      <c r="K112" s="4">
        <v>209</v>
      </c>
      <c r="L112" s="4">
        <v>23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45" x14ac:dyDescent="0.2">
      <c r="A113" s="4">
        <v>50</v>
      </c>
      <c r="B113" s="4">
        <v>0</v>
      </c>
      <c r="C113" s="4">
        <v>0</v>
      </c>
      <c r="D113" s="4">
        <v>1</v>
      </c>
      <c r="E113" s="4">
        <v>210</v>
      </c>
      <c r="F113" s="4">
        <f>ROUND(Source!X88,O113)</f>
        <v>112203.57</v>
      </c>
      <c r="G113" s="4" t="s">
        <v>117</v>
      </c>
      <c r="H113" s="4" t="s">
        <v>118</v>
      </c>
      <c r="I113" s="4"/>
      <c r="J113" s="4"/>
      <c r="K113" s="4">
        <v>210</v>
      </c>
      <c r="L113" s="4">
        <v>24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45" x14ac:dyDescent="0.2">
      <c r="A114" s="4">
        <v>50</v>
      </c>
      <c r="B114" s="4">
        <v>0</v>
      </c>
      <c r="C114" s="4">
        <v>0</v>
      </c>
      <c r="D114" s="4">
        <v>1</v>
      </c>
      <c r="E114" s="4">
        <v>211</v>
      </c>
      <c r="F114" s="4">
        <f>ROUND(Source!Y88,O114)</f>
        <v>16029.08</v>
      </c>
      <c r="G114" s="4" t="s">
        <v>119</v>
      </c>
      <c r="H114" s="4" t="s">
        <v>120</v>
      </c>
      <c r="I114" s="4"/>
      <c r="J114" s="4"/>
      <c r="K114" s="4">
        <v>211</v>
      </c>
      <c r="L114" s="4">
        <v>25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45" x14ac:dyDescent="0.2">
      <c r="A115" s="4">
        <v>50</v>
      </c>
      <c r="B115" s="4">
        <v>0</v>
      </c>
      <c r="C115" s="4">
        <v>0</v>
      </c>
      <c r="D115" s="4">
        <v>1</v>
      </c>
      <c r="E115" s="4">
        <v>224</v>
      </c>
      <c r="F115" s="4">
        <f>ROUND(Source!AR88,O115)</f>
        <v>4549006.22</v>
      </c>
      <c r="G115" s="4" t="s">
        <v>121</v>
      </c>
      <c r="H115" s="4" t="s">
        <v>122</v>
      </c>
      <c r="I115" s="4"/>
      <c r="J115" s="4"/>
      <c r="K115" s="4">
        <v>224</v>
      </c>
      <c r="L115" s="4">
        <v>26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45" x14ac:dyDescent="0.2">
      <c r="A116" s="4">
        <v>50</v>
      </c>
      <c r="B116" s="4">
        <v>1</v>
      </c>
      <c r="C116" s="4">
        <v>0</v>
      </c>
      <c r="D116" s="4">
        <v>2</v>
      </c>
      <c r="E116" s="4">
        <v>0</v>
      </c>
      <c r="F116" s="4">
        <f>ROUND(F115,O116)</f>
        <v>4549006.22</v>
      </c>
      <c r="G116" s="4" t="s">
        <v>19</v>
      </c>
      <c r="H116" s="4" t="s">
        <v>123</v>
      </c>
      <c r="I116" s="4"/>
      <c r="J116" s="4"/>
      <c r="K116" s="4">
        <v>212</v>
      </c>
      <c r="L116" s="4">
        <v>27</v>
      </c>
      <c r="M116" s="4">
        <v>0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45" x14ac:dyDescent="0.2">
      <c r="A117" s="4">
        <v>50</v>
      </c>
      <c r="B117" s="4">
        <v>1</v>
      </c>
      <c r="C117" s="4">
        <v>0</v>
      </c>
      <c r="D117" s="4">
        <v>2</v>
      </c>
      <c r="E117" s="4">
        <v>0</v>
      </c>
      <c r="F117" s="4">
        <f>ROUND(F116*0.2,O117)</f>
        <v>909801.24</v>
      </c>
      <c r="G117" s="4" t="s">
        <v>27</v>
      </c>
      <c r="H117" s="4" t="s">
        <v>124</v>
      </c>
      <c r="I117" s="4"/>
      <c r="J117" s="4"/>
      <c r="K117" s="4">
        <v>212</v>
      </c>
      <c r="L117" s="4">
        <v>28</v>
      </c>
      <c r="M117" s="4">
        <v>0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45" x14ac:dyDescent="0.2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ROUND(F116+F117,O118)</f>
        <v>5458807.46</v>
      </c>
      <c r="G118" s="4" t="s">
        <v>31</v>
      </c>
      <c r="H118" s="4" t="s">
        <v>121</v>
      </c>
      <c r="I118" s="4"/>
      <c r="J118" s="4"/>
      <c r="K118" s="4">
        <v>212</v>
      </c>
      <c r="L118" s="4">
        <v>29</v>
      </c>
      <c r="M118" s="4">
        <v>0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20" spans="1:245" x14ac:dyDescent="0.2">
      <c r="A120" s="1">
        <v>4</v>
      </c>
      <c r="B120" s="1">
        <v>1</v>
      </c>
      <c r="C120" s="1"/>
      <c r="D120" s="1">
        <f>ROW(A134)</f>
        <v>134</v>
      </c>
      <c r="E120" s="1"/>
      <c r="F120" s="1" t="s">
        <v>17</v>
      </c>
      <c r="G120" s="1" t="s">
        <v>529</v>
      </c>
      <c r="H120" s="1" t="s">
        <v>3</v>
      </c>
      <c r="I120" s="1">
        <v>0</v>
      </c>
      <c r="J120" s="1"/>
      <c r="K120" s="1">
        <v>-1</v>
      </c>
      <c r="L120" s="1"/>
      <c r="M120" s="1"/>
      <c r="N120" s="1"/>
      <c r="O120" s="1"/>
      <c r="P120" s="1"/>
      <c r="Q120" s="1"/>
      <c r="R120" s="1"/>
      <c r="S120" s="1"/>
      <c r="T120" s="1"/>
      <c r="U120" s="1" t="s">
        <v>3</v>
      </c>
      <c r="V120" s="1">
        <v>0</v>
      </c>
      <c r="W120" s="1"/>
      <c r="X120" s="1"/>
      <c r="Y120" s="1"/>
      <c r="Z120" s="1"/>
      <c r="AA120" s="1"/>
      <c r="AB120" s="1" t="s">
        <v>3</v>
      </c>
      <c r="AC120" s="1" t="s">
        <v>3</v>
      </c>
      <c r="AD120" s="1" t="s">
        <v>3</v>
      </c>
      <c r="AE120" s="1" t="s">
        <v>3</v>
      </c>
      <c r="AF120" s="1" t="s">
        <v>3</v>
      </c>
      <c r="AG120" s="1" t="s">
        <v>3</v>
      </c>
      <c r="AH120" s="1"/>
      <c r="AI120" s="1"/>
      <c r="AJ120" s="1"/>
      <c r="AK120" s="1"/>
      <c r="AL120" s="1"/>
      <c r="AM120" s="1"/>
      <c r="AN120" s="1"/>
      <c r="AO120" s="1"/>
      <c r="AP120" s="1" t="s">
        <v>3</v>
      </c>
      <c r="AQ120" s="1" t="s">
        <v>3</v>
      </c>
      <c r="AR120" s="1" t="s">
        <v>3</v>
      </c>
      <c r="AS120" s="1"/>
      <c r="AT120" s="1"/>
      <c r="AU120" s="1"/>
      <c r="AV120" s="1"/>
      <c r="AW120" s="1"/>
      <c r="AX120" s="1"/>
      <c r="AY120" s="1"/>
      <c r="AZ120" s="1" t="s">
        <v>3</v>
      </c>
      <c r="BA120" s="1"/>
      <c r="BB120" s="1" t="s">
        <v>3</v>
      </c>
      <c r="BC120" s="1" t="s">
        <v>3</v>
      </c>
      <c r="BD120" s="1" t="s">
        <v>3</v>
      </c>
      <c r="BE120" s="1" t="s">
        <v>3</v>
      </c>
      <c r="BF120" s="1" t="s">
        <v>3</v>
      </c>
      <c r="BG120" s="1" t="s">
        <v>3</v>
      </c>
      <c r="BH120" s="1" t="s">
        <v>3</v>
      </c>
      <c r="BI120" s="1" t="s">
        <v>3</v>
      </c>
      <c r="BJ120" s="1" t="s">
        <v>3</v>
      </c>
      <c r="BK120" s="1" t="s">
        <v>3</v>
      </c>
      <c r="BL120" s="1" t="s">
        <v>3</v>
      </c>
      <c r="BM120" s="1" t="s">
        <v>3</v>
      </c>
      <c r="BN120" s="1" t="s">
        <v>3</v>
      </c>
      <c r="BO120" s="1" t="s">
        <v>3</v>
      </c>
      <c r="BP120" s="1" t="s">
        <v>3</v>
      </c>
      <c r="BQ120" s="1"/>
      <c r="BR120" s="1"/>
      <c r="BS120" s="1"/>
      <c r="BT120" s="1"/>
      <c r="BU120" s="1"/>
      <c r="BV120" s="1"/>
      <c r="BW120" s="1"/>
      <c r="BX120" s="1">
        <v>0</v>
      </c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>
        <v>0</v>
      </c>
    </row>
    <row r="122" spans="1:245" x14ac:dyDescent="0.2">
      <c r="A122" s="2">
        <v>52</v>
      </c>
      <c r="B122" s="2">
        <f t="shared" ref="B122:G122" si="112">B134</f>
        <v>1</v>
      </c>
      <c r="C122" s="2">
        <f t="shared" si="112"/>
        <v>4</v>
      </c>
      <c r="D122" s="2">
        <f t="shared" si="112"/>
        <v>120</v>
      </c>
      <c r="E122" s="2">
        <f t="shared" si="112"/>
        <v>0</v>
      </c>
      <c r="F122" s="2" t="str">
        <f t="shared" si="112"/>
        <v>Новый раздел</v>
      </c>
      <c r="G122" s="2" t="str">
        <f t="shared" si="112"/>
        <v xml:space="preserve">Раздел 11. Замена\устройство бортового камня садового(для оснований площадок детских, спортивных, воркаут) </v>
      </c>
      <c r="H122" s="2"/>
      <c r="I122" s="2"/>
      <c r="J122" s="2"/>
      <c r="K122" s="2"/>
      <c r="L122" s="2"/>
      <c r="M122" s="2"/>
      <c r="N122" s="2"/>
      <c r="O122" s="2">
        <f t="shared" ref="O122:AT122" si="113">O134</f>
        <v>486836.7</v>
      </c>
      <c r="P122" s="2">
        <f t="shared" si="113"/>
        <v>184984.73</v>
      </c>
      <c r="Q122" s="2">
        <f t="shared" si="113"/>
        <v>144364.26999999999</v>
      </c>
      <c r="R122" s="2">
        <f t="shared" si="113"/>
        <v>76909.119999999995</v>
      </c>
      <c r="S122" s="2">
        <f t="shared" si="113"/>
        <v>157487.70000000001</v>
      </c>
      <c r="T122" s="2">
        <f t="shared" si="113"/>
        <v>0</v>
      </c>
      <c r="U122" s="2">
        <f t="shared" si="113"/>
        <v>781.39799519999997</v>
      </c>
      <c r="V122" s="2">
        <f t="shared" si="113"/>
        <v>0</v>
      </c>
      <c r="W122" s="2">
        <f t="shared" si="113"/>
        <v>0</v>
      </c>
      <c r="X122" s="2">
        <f t="shared" si="113"/>
        <v>110241.38</v>
      </c>
      <c r="Y122" s="2">
        <f t="shared" si="113"/>
        <v>15748.77</v>
      </c>
      <c r="Z122" s="2">
        <f t="shared" si="113"/>
        <v>0</v>
      </c>
      <c r="AA122" s="2">
        <f t="shared" si="113"/>
        <v>0</v>
      </c>
      <c r="AB122" s="2">
        <f t="shared" si="113"/>
        <v>486836.7</v>
      </c>
      <c r="AC122" s="2">
        <f t="shared" si="113"/>
        <v>184984.73</v>
      </c>
      <c r="AD122" s="2">
        <f t="shared" si="113"/>
        <v>144364.26999999999</v>
      </c>
      <c r="AE122" s="2">
        <f t="shared" si="113"/>
        <v>76909.119999999995</v>
      </c>
      <c r="AF122" s="2">
        <f t="shared" si="113"/>
        <v>157487.70000000001</v>
      </c>
      <c r="AG122" s="2">
        <f t="shared" si="113"/>
        <v>0</v>
      </c>
      <c r="AH122" s="2">
        <f t="shared" si="113"/>
        <v>781.39799519999997</v>
      </c>
      <c r="AI122" s="2">
        <f t="shared" si="113"/>
        <v>0</v>
      </c>
      <c r="AJ122" s="2">
        <f t="shared" si="113"/>
        <v>0</v>
      </c>
      <c r="AK122" s="2">
        <f t="shared" si="113"/>
        <v>110241.38</v>
      </c>
      <c r="AL122" s="2">
        <f t="shared" si="113"/>
        <v>15748.77</v>
      </c>
      <c r="AM122" s="2">
        <f t="shared" si="113"/>
        <v>0</v>
      </c>
      <c r="AN122" s="2">
        <f t="shared" si="113"/>
        <v>0</v>
      </c>
      <c r="AO122" s="2">
        <f t="shared" si="113"/>
        <v>0</v>
      </c>
      <c r="AP122" s="2">
        <f t="shared" si="113"/>
        <v>0</v>
      </c>
      <c r="AQ122" s="2">
        <f t="shared" si="113"/>
        <v>0</v>
      </c>
      <c r="AR122" s="2">
        <f t="shared" si="113"/>
        <v>616003.30000000005</v>
      </c>
      <c r="AS122" s="2">
        <f t="shared" si="113"/>
        <v>13998.2</v>
      </c>
      <c r="AT122" s="2">
        <f t="shared" si="113"/>
        <v>0</v>
      </c>
      <c r="AU122" s="2">
        <f t="shared" ref="AU122:BZ122" si="114">AU134</f>
        <v>602005.1</v>
      </c>
      <c r="AV122" s="2">
        <f t="shared" si="114"/>
        <v>184984.73</v>
      </c>
      <c r="AW122" s="2">
        <f t="shared" si="114"/>
        <v>184984.73</v>
      </c>
      <c r="AX122" s="2">
        <f t="shared" si="114"/>
        <v>0</v>
      </c>
      <c r="AY122" s="2">
        <f t="shared" si="114"/>
        <v>184984.73</v>
      </c>
      <c r="AZ122" s="2">
        <f t="shared" si="114"/>
        <v>0</v>
      </c>
      <c r="BA122" s="2">
        <f t="shared" si="114"/>
        <v>0</v>
      </c>
      <c r="BB122" s="2">
        <f t="shared" si="114"/>
        <v>0</v>
      </c>
      <c r="BC122" s="2">
        <f t="shared" si="114"/>
        <v>0</v>
      </c>
      <c r="BD122" s="2">
        <f t="shared" si="114"/>
        <v>0</v>
      </c>
      <c r="BE122" s="2">
        <f t="shared" si="114"/>
        <v>0</v>
      </c>
      <c r="BF122" s="2">
        <f t="shared" si="114"/>
        <v>0</v>
      </c>
      <c r="BG122" s="2">
        <f t="shared" si="114"/>
        <v>0</v>
      </c>
      <c r="BH122" s="2">
        <f t="shared" si="114"/>
        <v>0</v>
      </c>
      <c r="BI122" s="2">
        <f t="shared" si="114"/>
        <v>0</v>
      </c>
      <c r="BJ122" s="2">
        <f t="shared" si="114"/>
        <v>0</v>
      </c>
      <c r="BK122" s="2">
        <f t="shared" si="114"/>
        <v>0</v>
      </c>
      <c r="BL122" s="2">
        <f t="shared" si="114"/>
        <v>0</v>
      </c>
      <c r="BM122" s="2">
        <f t="shared" si="114"/>
        <v>0</v>
      </c>
      <c r="BN122" s="2">
        <f t="shared" si="114"/>
        <v>0</v>
      </c>
      <c r="BO122" s="2">
        <f t="shared" si="114"/>
        <v>0</v>
      </c>
      <c r="BP122" s="2">
        <f t="shared" si="114"/>
        <v>0</v>
      </c>
      <c r="BQ122" s="2">
        <f t="shared" si="114"/>
        <v>0</v>
      </c>
      <c r="BR122" s="2">
        <f t="shared" si="114"/>
        <v>0</v>
      </c>
      <c r="BS122" s="2">
        <f t="shared" si="114"/>
        <v>0</v>
      </c>
      <c r="BT122" s="2">
        <f t="shared" si="114"/>
        <v>0</v>
      </c>
      <c r="BU122" s="2">
        <f t="shared" si="114"/>
        <v>0</v>
      </c>
      <c r="BV122" s="2">
        <f t="shared" si="114"/>
        <v>0</v>
      </c>
      <c r="BW122" s="2">
        <f t="shared" si="114"/>
        <v>0</v>
      </c>
      <c r="BX122" s="2">
        <f t="shared" si="114"/>
        <v>0</v>
      </c>
      <c r="BY122" s="2">
        <f t="shared" si="114"/>
        <v>0</v>
      </c>
      <c r="BZ122" s="2">
        <f t="shared" si="114"/>
        <v>0</v>
      </c>
      <c r="CA122" s="2">
        <f t="shared" ref="CA122:DF122" si="115">CA134</f>
        <v>616003.30000000005</v>
      </c>
      <c r="CB122" s="2">
        <f t="shared" si="115"/>
        <v>13998.2</v>
      </c>
      <c r="CC122" s="2">
        <f t="shared" si="115"/>
        <v>0</v>
      </c>
      <c r="CD122" s="2">
        <f t="shared" si="115"/>
        <v>602005.1</v>
      </c>
      <c r="CE122" s="2">
        <f t="shared" si="115"/>
        <v>184984.73</v>
      </c>
      <c r="CF122" s="2">
        <f t="shared" si="115"/>
        <v>184984.73</v>
      </c>
      <c r="CG122" s="2">
        <f t="shared" si="115"/>
        <v>0</v>
      </c>
      <c r="CH122" s="2">
        <f t="shared" si="115"/>
        <v>184984.73</v>
      </c>
      <c r="CI122" s="2">
        <f t="shared" si="115"/>
        <v>0</v>
      </c>
      <c r="CJ122" s="2">
        <f t="shared" si="115"/>
        <v>0</v>
      </c>
      <c r="CK122" s="2">
        <f t="shared" si="115"/>
        <v>0</v>
      </c>
      <c r="CL122" s="2">
        <f t="shared" si="115"/>
        <v>0</v>
      </c>
      <c r="CM122" s="2">
        <f t="shared" si="115"/>
        <v>0</v>
      </c>
      <c r="CN122" s="2">
        <f t="shared" si="115"/>
        <v>0</v>
      </c>
      <c r="CO122" s="2">
        <f t="shared" si="115"/>
        <v>0</v>
      </c>
      <c r="CP122" s="2">
        <f t="shared" si="115"/>
        <v>0</v>
      </c>
      <c r="CQ122" s="2">
        <f t="shared" si="115"/>
        <v>0</v>
      </c>
      <c r="CR122" s="2">
        <f t="shared" si="115"/>
        <v>0</v>
      </c>
      <c r="CS122" s="2">
        <f t="shared" si="115"/>
        <v>0</v>
      </c>
      <c r="CT122" s="2">
        <f t="shared" si="115"/>
        <v>0</v>
      </c>
      <c r="CU122" s="2">
        <f t="shared" si="115"/>
        <v>0</v>
      </c>
      <c r="CV122" s="2">
        <f t="shared" si="115"/>
        <v>0</v>
      </c>
      <c r="CW122" s="2">
        <f t="shared" si="115"/>
        <v>0</v>
      </c>
      <c r="CX122" s="2">
        <f t="shared" si="115"/>
        <v>0</v>
      </c>
      <c r="CY122" s="2">
        <f t="shared" si="115"/>
        <v>0</v>
      </c>
      <c r="CZ122" s="2">
        <f t="shared" si="115"/>
        <v>0</v>
      </c>
      <c r="DA122" s="2">
        <f t="shared" si="115"/>
        <v>0</v>
      </c>
      <c r="DB122" s="2">
        <f t="shared" si="115"/>
        <v>0</v>
      </c>
      <c r="DC122" s="2">
        <f t="shared" si="115"/>
        <v>0</v>
      </c>
      <c r="DD122" s="2">
        <f t="shared" si="115"/>
        <v>0</v>
      </c>
      <c r="DE122" s="2">
        <f t="shared" si="115"/>
        <v>0</v>
      </c>
      <c r="DF122" s="2">
        <f t="shared" si="115"/>
        <v>0</v>
      </c>
      <c r="DG122" s="3">
        <f t="shared" ref="DG122:EL122" si="116">DG134</f>
        <v>0</v>
      </c>
      <c r="DH122" s="3">
        <f t="shared" si="116"/>
        <v>0</v>
      </c>
      <c r="DI122" s="3">
        <f t="shared" si="116"/>
        <v>0</v>
      </c>
      <c r="DJ122" s="3">
        <f t="shared" si="116"/>
        <v>0</v>
      </c>
      <c r="DK122" s="3">
        <f t="shared" si="116"/>
        <v>0</v>
      </c>
      <c r="DL122" s="3">
        <f t="shared" si="116"/>
        <v>0</v>
      </c>
      <c r="DM122" s="3">
        <f t="shared" si="116"/>
        <v>0</v>
      </c>
      <c r="DN122" s="3">
        <f t="shared" si="116"/>
        <v>0</v>
      </c>
      <c r="DO122" s="3">
        <f t="shared" si="116"/>
        <v>0</v>
      </c>
      <c r="DP122" s="3">
        <f t="shared" si="116"/>
        <v>0</v>
      </c>
      <c r="DQ122" s="3">
        <f t="shared" si="116"/>
        <v>0</v>
      </c>
      <c r="DR122" s="3">
        <f t="shared" si="116"/>
        <v>0</v>
      </c>
      <c r="DS122" s="3">
        <f t="shared" si="116"/>
        <v>0</v>
      </c>
      <c r="DT122" s="3">
        <f t="shared" si="116"/>
        <v>0</v>
      </c>
      <c r="DU122" s="3">
        <f t="shared" si="116"/>
        <v>0</v>
      </c>
      <c r="DV122" s="3">
        <f t="shared" si="116"/>
        <v>0</v>
      </c>
      <c r="DW122" s="3">
        <f t="shared" si="116"/>
        <v>0</v>
      </c>
      <c r="DX122" s="3">
        <f t="shared" si="116"/>
        <v>0</v>
      </c>
      <c r="DY122" s="3">
        <f t="shared" si="116"/>
        <v>0</v>
      </c>
      <c r="DZ122" s="3">
        <f t="shared" si="116"/>
        <v>0</v>
      </c>
      <c r="EA122" s="3">
        <f t="shared" si="116"/>
        <v>0</v>
      </c>
      <c r="EB122" s="3">
        <f t="shared" si="116"/>
        <v>0</v>
      </c>
      <c r="EC122" s="3">
        <f t="shared" si="116"/>
        <v>0</v>
      </c>
      <c r="ED122" s="3">
        <f t="shared" si="116"/>
        <v>0</v>
      </c>
      <c r="EE122" s="3">
        <f t="shared" si="116"/>
        <v>0</v>
      </c>
      <c r="EF122" s="3">
        <f t="shared" si="116"/>
        <v>0</v>
      </c>
      <c r="EG122" s="3">
        <f t="shared" si="116"/>
        <v>0</v>
      </c>
      <c r="EH122" s="3">
        <f t="shared" si="116"/>
        <v>0</v>
      </c>
      <c r="EI122" s="3">
        <f t="shared" si="116"/>
        <v>0</v>
      </c>
      <c r="EJ122" s="3">
        <f t="shared" si="116"/>
        <v>0</v>
      </c>
      <c r="EK122" s="3">
        <f t="shared" si="116"/>
        <v>0</v>
      </c>
      <c r="EL122" s="3">
        <f t="shared" si="116"/>
        <v>0</v>
      </c>
      <c r="EM122" s="3">
        <f t="shared" ref="EM122:FR122" si="117">EM134</f>
        <v>0</v>
      </c>
      <c r="EN122" s="3">
        <f t="shared" si="117"/>
        <v>0</v>
      </c>
      <c r="EO122" s="3">
        <f t="shared" si="117"/>
        <v>0</v>
      </c>
      <c r="EP122" s="3">
        <f t="shared" si="117"/>
        <v>0</v>
      </c>
      <c r="EQ122" s="3">
        <f t="shared" si="117"/>
        <v>0</v>
      </c>
      <c r="ER122" s="3">
        <f t="shared" si="117"/>
        <v>0</v>
      </c>
      <c r="ES122" s="3">
        <f t="shared" si="117"/>
        <v>0</v>
      </c>
      <c r="ET122" s="3">
        <f t="shared" si="117"/>
        <v>0</v>
      </c>
      <c r="EU122" s="3">
        <f t="shared" si="117"/>
        <v>0</v>
      </c>
      <c r="EV122" s="3">
        <f t="shared" si="117"/>
        <v>0</v>
      </c>
      <c r="EW122" s="3">
        <f t="shared" si="117"/>
        <v>0</v>
      </c>
      <c r="EX122" s="3">
        <f t="shared" si="117"/>
        <v>0</v>
      </c>
      <c r="EY122" s="3">
        <f t="shared" si="117"/>
        <v>0</v>
      </c>
      <c r="EZ122" s="3">
        <f t="shared" si="117"/>
        <v>0</v>
      </c>
      <c r="FA122" s="3">
        <f t="shared" si="117"/>
        <v>0</v>
      </c>
      <c r="FB122" s="3">
        <f t="shared" si="117"/>
        <v>0</v>
      </c>
      <c r="FC122" s="3">
        <f t="shared" si="117"/>
        <v>0</v>
      </c>
      <c r="FD122" s="3">
        <f t="shared" si="117"/>
        <v>0</v>
      </c>
      <c r="FE122" s="3">
        <f t="shared" si="117"/>
        <v>0</v>
      </c>
      <c r="FF122" s="3">
        <f t="shared" si="117"/>
        <v>0</v>
      </c>
      <c r="FG122" s="3">
        <f t="shared" si="117"/>
        <v>0</v>
      </c>
      <c r="FH122" s="3">
        <f t="shared" si="117"/>
        <v>0</v>
      </c>
      <c r="FI122" s="3">
        <f t="shared" si="117"/>
        <v>0</v>
      </c>
      <c r="FJ122" s="3">
        <f t="shared" si="117"/>
        <v>0</v>
      </c>
      <c r="FK122" s="3">
        <f t="shared" si="117"/>
        <v>0</v>
      </c>
      <c r="FL122" s="3">
        <f t="shared" si="117"/>
        <v>0</v>
      </c>
      <c r="FM122" s="3">
        <f t="shared" si="117"/>
        <v>0</v>
      </c>
      <c r="FN122" s="3">
        <f t="shared" si="117"/>
        <v>0</v>
      </c>
      <c r="FO122" s="3">
        <f t="shared" si="117"/>
        <v>0</v>
      </c>
      <c r="FP122" s="3">
        <f t="shared" si="117"/>
        <v>0</v>
      </c>
      <c r="FQ122" s="3">
        <f t="shared" si="117"/>
        <v>0</v>
      </c>
      <c r="FR122" s="3">
        <f t="shared" si="117"/>
        <v>0</v>
      </c>
      <c r="FS122" s="3">
        <f t="shared" ref="FS122:GX122" si="118">FS134</f>
        <v>0</v>
      </c>
      <c r="FT122" s="3">
        <f t="shared" si="118"/>
        <v>0</v>
      </c>
      <c r="FU122" s="3">
        <f t="shared" si="118"/>
        <v>0</v>
      </c>
      <c r="FV122" s="3">
        <f t="shared" si="118"/>
        <v>0</v>
      </c>
      <c r="FW122" s="3">
        <f t="shared" si="118"/>
        <v>0</v>
      </c>
      <c r="FX122" s="3">
        <f t="shared" si="118"/>
        <v>0</v>
      </c>
      <c r="FY122" s="3">
        <f t="shared" si="118"/>
        <v>0</v>
      </c>
      <c r="FZ122" s="3">
        <f t="shared" si="118"/>
        <v>0</v>
      </c>
      <c r="GA122" s="3">
        <f t="shared" si="118"/>
        <v>0</v>
      </c>
      <c r="GB122" s="3">
        <f t="shared" si="118"/>
        <v>0</v>
      </c>
      <c r="GC122" s="3">
        <f t="shared" si="118"/>
        <v>0</v>
      </c>
      <c r="GD122" s="3">
        <f t="shared" si="118"/>
        <v>0</v>
      </c>
      <c r="GE122" s="3">
        <f t="shared" si="118"/>
        <v>0</v>
      </c>
      <c r="GF122" s="3">
        <f t="shared" si="118"/>
        <v>0</v>
      </c>
      <c r="GG122" s="3">
        <f t="shared" si="118"/>
        <v>0</v>
      </c>
      <c r="GH122" s="3">
        <f t="shared" si="118"/>
        <v>0</v>
      </c>
      <c r="GI122" s="3">
        <f t="shared" si="118"/>
        <v>0</v>
      </c>
      <c r="GJ122" s="3">
        <f t="shared" si="118"/>
        <v>0</v>
      </c>
      <c r="GK122" s="3">
        <f t="shared" si="118"/>
        <v>0</v>
      </c>
      <c r="GL122" s="3">
        <f t="shared" si="118"/>
        <v>0</v>
      </c>
      <c r="GM122" s="3">
        <f t="shared" si="118"/>
        <v>0</v>
      </c>
      <c r="GN122" s="3">
        <f t="shared" si="118"/>
        <v>0</v>
      </c>
      <c r="GO122" s="3">
        <f t="shared" si="118"/>
        <v>0</v>
      </c>
      <c r="GP122" s="3">
        <f t="shared" si="118"/>
        <v>0</v>
      </c>
      <c r="GQ122" s="3">
        <f t="shared" si="118"/>
        <v>0</v>
      </c>
      <c r="GR122" s="3">
        <f t="shared" si="118"/>
        <v>0</v>
      </c>
      <c r="GS122" s="3">
        <f t="shared" si="118"/>
        <v>0</v>
      </c>
      <c r="GT122" s="3">
        <f t="shared" si="118"/>
        <v>0</v>
      </c>
      <c r="GU122" s="3">
        <f t="shared" si="118"/>
        <v>0</v>
      </c>
      <c r="GV122" s="3">
        <f t="shared" si="118"/>
        <v>0</v>
      </c>
      <c r="GW122" s="3">
        <f t="shared" si="118"/>
        <v>0</v>
      </c>
      <c r="GX122" s="3">
        <f t="shared" si="118"/>
        <v>0</v>
      </c>
    </row>
    <row r="124" spans="1:245" x14ac:dyDescent="0.2">
      <c r="A124">
        <v>17</v>
      </c>
      <c r="B124">
        <v>1</v>
      </c>
      <c r="C124">
        <f>ROW(SmtRes!A59)</f>
        <v>59</v>
      </c>
      <c r="D124">
        <f>ROW(EtalonRes!A57)</f>
        <v>57</v>
      </c>
      <c r="E124" t="s">
        <v>140</v>
      </c>
      <c r="F124" t="s">
        <v>141</v>
      </c>
      <c r="G124" t="s">
        <v>142</v>
      </c>
      <c r="H124" t="s">
        <v>143</v>
      </c>
      <c r="I124">
        <f>ROUND(516/100,9)</f>
        <v>5.16</v>
      </c>
      <c r="J124">
        <v>0</v>
      </c>
      <c r="O124">
        <f t="shared" ref="O124:O132" si="119">ROUND(CP124,2)</f>
        <v>80009.259999999995</v>
      </c>
      <c r="P124">
        <f t="shared" ref="P124:P132" si="120">ROUND(CQ124*I124,2)</f>
        <v>0</v>
      </c>
      <c r="Q124">
        <f t="shared" ref="Q124:Q132" si="121">ROUND(CR124*I124,2)</f>
        <v>0</v>
      </c>
      <c r="R124">
        <f t="shared" ref="R124:R132" si="122">ROUND(CS124*I124,2)</f>
        <v>0</v>
      </c>
      <c r="S124">
        <f t="shared" ref="S124:S132" si="123">ROUND(CT124*I124,2)</f>
        <v>80009.259999999995</v>
      </c>
      <c r="T124">
        <f t="shared" ref="T124:T132" si="124">ROUND(CU124*I124,2)</f>
        <v>0</v>
      </c>
      <c r="U124">
        <f t="shared" ref="U124:U132" si="125">CV124*I124</f>
        <v>395.77200000000005</v>
      </c>
      <c r="V124">
        <f t="shared" ref="V124:V132" si="126">CW124*I124</f>
        <v>0</v>
      </c>
      <c r="W124">
        <f t="shared" ref="W124:W132" si="127">ROUND(CX124*I124,2)</f>
        <v>0</v>
      </c>
      <c r="X124">
        <f t="shared" ref="X124:X132" si="128">ROUND(CY124,2)</f>
        <v>56006.48</v>
      </c>
      <c r="Y124">
        <f t="shared" ref="Y124:Y132" si="129">ROUND(CZ124,2)</f>
        <v>8000.93</v>
      </c>
      <c r="AA124">
        <v>42184655</v>
      </c>
      <c r="AB124">
        <f t="shared" ref="AB124:AB132" si="130">ROUND((AC124+AD124+AF124),6)</f>
        <v>15505.67</v>
      </c>
      <c r="AC124">
        <f>ROUND((ES124),6)</f>
        <v>0</v>
      </c>
      <c r="AD124">
        <f>ROUND((((ET124)-(EU124))+AE124),6)</f>
        <v>0</v>
      </c>
      <c r="AE124">
        <f t="shared" ref="AE124:AF128" si="131">ROUND((EU124),6)</f>
        <v>0</v>
      </c>
      <c r="AF124">
        <f t="shared" si="131"/>
        <v>15505.67</v>
      </c>
      <c r="AG124">
        <f t="shared" ref="AG124:AG132" si="132">ROUND((AP124),6)</f>
        <v>0</v>
      </c>
      <c r="AH124">
        <f t="shared" ref="AH124:AI128" si="133">(EW124)</f>
        <v>76.7</v>
      </c>
      <c r="AI124">
        <f t="shared" si="133"/>
        <v>0</v>
      </c>
      <c r="AJ124">
        <f t="shared" ref="AJ124:AJ132" si="134">(AS124)</f>
        <v>0</v>
      </c>
      <c r="AK124">
        <v>15505.67</v>
      </c>
      <c r="AL124">
        <v>0</v>
      </c>
      <c r="AM124">
        <v>0</v>
      </c>
      <c r="AN124">
        <v>0</v>
      </c>
      <c r="AO124">
        <v>15505.67</v>
      </c>
      <c r="AP124">
        <v>0</v>
      </c>
      <c r="AQ124">
        <v>76.7</v>
      </c>
      <c r="AR124">
        <v>0</v>
      </c>
      <c r="AS124">
        <v>0</v>
      </c>
      <c r="AT124">
        <v>70</v>
      </c>
      <c r="AU124">
        <v>10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1</v>
      </c>
      <c r="BD124" t="s">
        <v>3</v>
      </c>
      <c r="BE124" t="s">
        <v>3</v>
      </c>
      <c r="BF124" t="s">
        <v>3</v>
      </c>
      <c r="BG124" t="s">
        <v>3</v>
      </c>
      <c r="BH124">
        <v>0</v>
      </c>
      <c r="BI124">
        <v>4</v>
      </c>
      <c r="BJ124" t="s">
        <v>144</v>
      </c>
      <c r="BM124">
        <v>0</v>
      </c>
      <c r="BN124">
        <v>0</v>
      </c>
      <c r="BO124" t="s">
        <v>3</v>
      </c>
      <c r="BP124">
        <v>0</v>
      </c>
      <c r="BQ124">
        <v>1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70</v>
      </c>
      <c r="CA124">
        <v>10</v>
      </c>
      <c r="CE124">
        <v>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ref="CP124:CP132" si="135">(P124+Q124+S124)</f>
        <v>80009.259999999995</v>
      </c>
      <c r="CQ124">
        <f t="shared" ref="CQ124:CQ132" si="136">(AC124*BC124*AW124)</f>
        <v>0</v>
      </c>
      <c r="CR124">
        <f>((((ET124)*BB124-(EU124)*BS124)+AE124*BS124)*AV124)</f>
        <v>0</v>
      </c>
      <c r="CS124">
        <f t="shared" ref="CS124:CS132" si="137">(AE124*BS124*AV124)</f>
        <v>0</v>
      </c>
      <c r="CT124">
        <f t="shared" ref="CT124:CT132" si="138">(AF124*BA124*AV124)</f>
        <v>15505.67</v>
      </c>
      <c r="CU124">
        <f t="shared" ref="CU124:CU132" si="139">AG124</f>
        <v>0</v>
      </c>
      <c r="CV124">
        <f t="shared" ref="CV124:CV132" si="140">(AH124*AV124)</f>
        <v>76.7</v>
      </c>
      <c r="CW124">
        <f t="shared" ref="CW124:CW132" si="141">AI124</f>
        <v>0</v>
      </c>
      <c r="CX124">
        <f t="shared" ref="CX124:CX132" si="142">AJ124</f>
        <v>0</v>
      </c>
      <c r="CY124">
        <f t="shared" ref="CY124:CY132" si="143">((S124*BZ124)/100)</f>
        <v>56006.481999999989</v>
      </c>
      <c r="CZ124">
        <f t="shared" ref="CZ124:CZ132" si="144">((S124*CA124)/100)</f>
        <v>8000.9259999999995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0</v>
      </c>
      <c r="DO124">
        <v>0</v>
      </c>
      <c r="DP124">
        <v>1</v>
      </c>
      <c r="DQ124">
        <v>1</v>
      </c>
      <c r="DU124">
        <v>1003</v>
      </c>
      <c r="DV124" t="s">
        <v>143</v>
      </c>
      <c r="DW124" t="s">
        <v>143</v>
      </c>
      <c r="DX124">
        <v>100</v>
      </c>
      <c r="EE124">
        <v>40658659</v>
      </c>
      <c r="EF124">
        <v>1</v>
      </c>
      <c r="EG124" t="s">
        <v>24</v>
      </c>
      <c r="EH124">
        <v>0</v>
      </c>
      <c r="EI124" t="s">
        <v>3</v>
      </c>
      <c r="EJ124">
        <v>4</v>
      </c>
      <c r="EK124">
        <v>0</v>
      </c>
      <c r="EL124" t="s">
        <v>25</v>
      </c>
      <c r="EM124" t="s">
        <v>26</v>
      </c>
      <c r="EO124" t="s">
        <v>3</v>
      </c>
      <c r="EQ124">
        <v>131072</v>
      </c>
      <c r="ER124">
        <v>15505.67</v>
      </c>
      <c r="ES124">
        <v>0</v>
      </c>
      <c r="ET124">
        <v>0</v>
      </c>
      <c r="EU124">
        <v>0</v>
      </c>
      <c r="EV124">
        <v>15505.67</v>
      </c>
      <c r="EW124">
        <v>76.7</v>
      </c>
      <c r="EX124">
        <v>0</v>
      </c>
      <c r="EY124">
        <v>0</v>
      </c>
      <c r="FQ124">
        <v>0</v>
      </c>
      <c r="FR124">
        <f t="shared" ref="FR124:FR132" si="145">ROUND(IF(AND(BH124=3,BI124=3),P124,0),2)</f>
        <v>0</v>
      </c>
      <c r="FS124">
        <v>0</v>
      </c>
      <c r="FX124">
        <v>70</v>
      </c>
      <c r="FY124">
        <v>10</v>
      </c>
      <c r="GA124" t="s">
        <v>3</v>
      </c>
      <c r="GD124">
        <v>0</v>
      </c>
      <c r="GF124">
        <v>1467608921</v>
      </c>
      <c r="GG124">
        <v>2</v>
      </c>
      <c r="GH124">
        <v>1</v>
      </c>
      <c r="GI124">
        <v>-2</v>
      </c>
      <c r="GJ124">
        <v>0</v>
      </c>
      <c r="GK124">
        <f>ROUND(R124*(R12)/100,2)</f>
        <v>0</v>
      </c>
      <c r="GL124">
        <f t="shared" ref="GL124:GL132" si="146">ROUND(IF(AND(BH124=3,BI124=3,FS124&lt;&gt;0),P124,0),2)</f>
        <v>0</v>
      </c>
      <c r="GM124">
        <f>ROUND(O124+X124+Y124+GK124,2)+GX124</f>
        <v>144016.67000000001</v>
      </c>
      <c r="GN124">
        <f>IF(OR(BI124=0,BI124=1),ROUND(O124+X124+Y124+GK124,2),0)</f>
        <v>0</v>
      </c>
      <c r="GO124">
        <f>IF(BI124=2,ROUND(O124+X124+Y124+GK124,2),0)</f>
        <v>0</v>
      </c>
      <c r="GP124">
        <f>IF(BI124=4,ROUND(O124+X124+Y124+GK124,2)+GX124,0)</f>
        <v>144016.67000000001</v>
      </c>
      <c r="GR124">
        <v>0</v>
      </c>
      <c r="GS124">
        <v>3</v>
      </c>
      <c r="GT124">
        <v>0</v>
      </c>
      <c r="GU124" t="s">
        <v>3</v>
      </c>
      <c r="GV124">
        <f t="shared" ref="GV124:GV132" si="147">ROUND((GT124),6)</f>
        <v>0</v>
      </c>
      <c r="GW124">
        <v>1</v>
      </c>
      <c r="GX124">
        <f t="shared" ref="GX124:GX132" si="148">ROUND(HC124*I124,2)</f>
        <v>0</v>
      </c>
      <c r="HA124">
        <v>0</v>
      </c>
      <c r="HB124">
        <v>0</v>
      </c>
      <c r="HC124">
        <f t="shared" ref="HC124:HC132" si="149">GV124*GW124</f>
        <v>0</v>
      </c>
      <c r="IK124">
        <v>0</v>
      </c>
    </row>
    <row r="125" spans="1:245" x14ac:dyDescent="0.2">
      <c r="A125">
        <v>17</v>
      </c>
      <c r="B125">
        <v>1</v>
      </c>
      <c r="C125">
        <f>ROW(SmtRes!A60)</f>
        <v>60</v>
      </c>
      <c r="D125">
        <f>ROW(EtalonRes!A58)</f>
        <v>58</v>
      </c>
      <c r="E125" t="s">
        <v>145</v>
      </c>
      <c r="F125" t="s">
        <v>146</v>
      </c>
      <c r="G125" t="s">
        <v>147</v>
      </c>
      <c r="H125" t="s">
        <v>68</v>
      </c>
      <c r="I125">
        <f>ROUND(516*(0.016+0.048)*2.4*0.1,9)</f>
        <v>7.9257600000000004</v>
      </c>
      <c r="J125">
        <v>0</v>
      </c>
      <c r="O125">
        <f t="shared" si="119"/>
        <v>989.93</v>
      </c>
      <c r="P125">
        <f t="shared" si="120"/>
        <v>0</v>
      </c>
      <c r="Q125">
        <f t="shared" si="121"/>
        <v>0</v>
      </c>
      <c r="R125">
        <f t="shared" si="122"/>
        <v>0</v>
      </c>
      <c r="S125">
        <f t="shared" si="123"/>
        <v>989.93</v>
      </c>
      <c r="T125">
        <f t="shared" si="124"/>
        <v>0</v>
      </c>
      <c r="U125">
        <f t="shared" si="125"/>
        <v>8.0842752000000004</v>
      </c>
      <c r="V125">
        <f t="shared" si="126"/>
        <v>0</v>
      </c>
      <c r="W125">
        <f t="shared" si="127"/>
        <v>0</v>
      </c>
      <c r="X125">
        <f t="shared" si="128"/>
        <v>692.95</v>
      </c>
      <c r="Y125">
        <f t="shared" si="129"/>
        <v>98.99</v>
      </c>
      <c r="AA125">
        <v>42184655</v>
      </c>
      <c r="AB125">
        <f t="shared" si="130"/>
        <v>124.9</v>
      </c>
      <c r="AC125">
        <f>ROUND((ES125),6)</f>
        <v>0</v>
      </c>
      <c r="AD125">
        <f>ROUND((((ET125)-(EU125))+AE125),6)</f>
        <v>0</v>
      </c>
      <c r="AE125">
        <f t="shared" si="131"/>
        <v>0</v>
      </c>
      <c r="AF125">
        <f t="shared" si="131"/>
        <v>124.9</v>
      </c>
      <c r="AG125">
        <f t="shared" si="132"/>
        <v>0</v>
      </c>
      <c r="AH125">
        <f t="shared" si="133"/>
        <v>1.02</v>
      </c>
      <c r="AI125">
        <f t="shared" si="133"/>
        <v>0</v>
      </c>
      <c r="AJ125">
        <f t="shared" si="134"/>
        <v>0</v>
      </c>
      <c r="AK125">
        <v>124.9</v>
      </c>
      <c r="AL125">
        <v>0</v>
      </c>
      <c r="AM125">
        <v>0</v>
      </c>
      <c r="AN125">
        <v>0</v>
      </c>
      <c r="AO125">
        <v>124.9</v>
      </c>
      <c r="AP125">
        <v>0</v>
      </c>
      <c r="AQ125">
        <v>1.02</v>
      </c>
      <c r="AR125">
        <v>0</v>
      </c>
      <c r="AS125">
        <v>0</v>
      </c>
      <c r="AT125">
        <v>70</v>
      </c>
      <c r="AU125">
        <v>10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1</v>
      </c>
      <c r="BD125" t="s">
        <v>3</v>
      </c>
      <c r="BE125" t="s">
        <v>3</v>
      </c>
      <c r="BF125" t="s">
        <v>3</v>
      </c>
      <c r="BG125" t="s">
        <v>3</v>
      </c>
      <c r="BH125">
        <v>0</v>
      </c>
      <c r="BI125">
        <v>4</v>
      </c>
      <c r="BJ125" t="s">
        <v>148</v>
      </c>
      <c r="BM125">
        <v>0</v>
      </c>
      <c r="BN125">
        <v>0</v>
      </c>
      <c r="BO125" t="s">
        <v>3</v>
      </c>
      <c r="BP125">
        <v>0</v>
      </c>
      <c r="BQ125">
        <v>1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70</v>
      </c>
      <c r="CA125">
        <v>10</v>
      </c>
      <c r="CE125">
        <v>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35"/>
        <v>989.93</v>
      </c>
      <c r="CQ125">
        <f t="shared" si="136"/>
        <v>0</v>
      </c>
      <c r="CR125">
        <f>((((ET125)*BB125-(EU125)*BS125)+AE125*BS125)*AV125)</f>
        <v>0</v>
      </c>
      <c r="CS125">
        <f t="shared" si="137"/>
        <v>0</v>
      </c>
      <c r="CT125">
        <f t="shared" si="138"/>
        <v>124.9</v>
      </c>
      <c r="CU125">
        <f t="shared" si="139"/>
        <v>0</v>
      </c>
      <c r="CV125">
        <f t="shared" si="140"/>
        <v>1.02</v>
      </c>
      <c r="CW125">
        <f t="shared" si="141"/>
        <v>0</v>
      </c>
      <c r="CX125">
        <f t="shared" si="142"/>
        <v>0</v>
      </c>
      <c r="CY125">
        <f t="shared" si="143"/>
        <v>692.95099999999991</v>
      </c>
      <c r="CZ125">
        <f t="shared" si="144"/>
        <v>98.992999999999995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1009</v>
      </c>
      <c r="DV125" t="s">
        <v>68</v>
      </c>
      <c r="DW125" t="s">
        <v>68</v>
      </c>
      <c r="DX125">
        <v>1000</v>
      </c>
      <c r="EE125">
        <v>40658659</v>
      </c>
      <c r="EF125">
        <v>1</v>
      </c>
      <c r="EG125" t="s">
        <v>24</v>
      </c>
      <c r="EH125">
        <v>0</v>
      </c>
      <c r="EI125" t="s">
        <v>3</v>
      </c>
      <c r="EJ125">
        <v>4</v>
      </c>
      <c r="EK125">
        <v>0</v>
      </c>
      <c r="EL125" t="s">
        <v>25</v>
      </c>
      <c r="EM125" t="s">
        <v>26</v>
      </c>
      <c r="EO125" t="s">
        <v>3</v>
      </c>
      <c r="EQ125">
        <v>0</v>
      </c>
      <c r="ER125">
        <v>124.9</v>
      </c>
      <c r="ES125">
        <v>0</v>
      </c>
      <c r="ET125">
        <v>0</v>
      </c>
      <c r="EU125">
        <v>0</v>
      </c>
      <c r="EV125">
        <v>124.9</v>
      </c>
      <c r="EW125">
        <v>1.02</v>
      </c>
      <c r="EX125">
        <v>0</v>
      </c>
      <c r="EY125">
        <v>0</v>
      </c>
      <c r="FQ125">
        <v>0</v>
      </c>
      <c r="FR125">
        <f t="shared" si="145"/>
        <v>0</v>
      </c>
      <c r="FS125">
        <v>0</v>
      </c>
      <c r="FX125">
        <v>70</v>
      </c>
      <c r="FY125">
        <v>10</v>
      </c>
      <c r="GA125" t="s">
        <v>3</v>
      </c>
      <c r="GD125">
        <v>0</v>
      </c>
      <c r="GF125">
        <v>44828971</v>
      </c>
      <c r="GG125">
        <v>2</v>
      </c>
      <c r="GH125">
        <v>1</v>
      </c>
      <c r="GI125">
        <v>-2</v>
      </c>
      <c r="GJ125">
        <v>0</v>
      </c>
      <c r="GK125">
        <f>ROUND(R125*(R12)/100,2)</f>
        <v>0</v>
      </c>
      <c r="GL125">
        <f t="shared" si="146"/>
        <v>0</v>
      </c>
      <c r="GM125">
        <f>ROUND(O125+X125+Y125+GK125,2)+GX125</f>
        <v>1781.87</v>
      </c>
      <c r="GN125">
        <f>IF(OR(BI125=0,BI125=1),ROUND(O125+X125+Y125+GK125,2),0)</f>
        <v>0</v>
      </c>
      <c r="GO125">
        <f>IF(BI125=2,ROUND(O125+X125+Y125+GK125,2),0)</f>
        <v>0</v>
      </c>
      <c r="GP125">
        <f>IF(BI125=4,ROUND(O125+X125+Y125+GK125,2)+GX125,0)</f>
        <v>1781.87</v>
      </c>
      <c r="GR125">
        <v>0</v>
      </c>
      <c r="GS125">
        <v>3</v>
      </c>
      <c r="GT125">
        <v>0</v>
      </c>
      <c r="GU125" t="s">
        <v>3</v>
      </c>
      <c r="GV125">
        <f t="shared" si="147"/>
        <v>0</v>
      </c>
      <c r="GW125">
        <v>1</v>
      </c>
      <c r="GX125">
        <f t="shared" si="148"/>
        <v>0</v>
      </c>
      <c r="HA125">
        <v>0</v>
      </c>
      <c r="HB125">
        <v>0</v>
      </c>
      <c r="HC125">
        <f t="shared" si="149"/>
        <v>0</v>
      </c>
      <c r="IK125">
        <v>0</v>
      </c>
    </row>
    <row r="126" spans="1:245" x14ac:dyDescent="0.2">
      <c r="A126">
        <v>17</v>
      </c>
      <c r="B126">
        <v>1</v>
      </c>
      <c r="C126">
        <f>ROW(SmtRes!A61)</f>
        <v>61</v>
      </c>
      <c r="D126">
        <f>ROW(EtalonRes!A59)</f>
        <v>59</v>
      </c>
      <c r="E126" t="s">
        <v>149</v>
      </c>
      <c r="F126" t="s">
        <v>150</v>
      </c>
      <c r="G126" t="s">
        <v>151</v>
      </c>
      <c r="H126" t="s">
        <v>68</v>
      </c>
      <c r="I126">
        <f>ROUND(615*(0.016+0.048)*2.4*0.9,9)</f>
        <v>85.017600000000002</v>
      </c>
      <c r="J126">
        <v>0</v>
      </c>
      <c r="O126">
        <f t="shared" si="119"/>
        <v>6822.66</v>
      </c>
      <c r="P126">
        <f t="shared" si="120"/>
        <v>0</v>
      </c>
      <c r="Q126">
        <f t="shared" si="121"/>
        <v>6822.66</v>
      </c>
      <c r="R126">
        <f t="shared" si="122"/>
        <v>2196.85</v>
      </c>
      <c r="S126">
        <f t="shared" si="123"/>
        <v>0</v>
      </c>
      <c r="T126">
        <f t="shared" si="124"/>
        <v>0</v>
      </c>
      <c r="U126">
        <f t="shared" si="125"/>
        <v>0</v>
      </c>
      <c r="V126">
        <f t="shared" si="126"/>
        <v>0</v>
      </c>
      <c r="W126">
        <f t="shared" si="127"/>
        <v>0</v>
      </c>
      <c r="X126">
        <f t="shared" si="128"/>
        <v>0</v>
      </c>
      <c r="Y126">
        <f t="shared" si="129"/>
        <v>0</v>
      </c>
      <c r="AA126">
        <v>42184655</v>
      </c>
      <c r="AB126">
        <f t="shared" si="130"/>
        <v>80.25</v>
      </c>
      <c r="AC126">
        <f>ROUND((ES126),6)</f>
        <v>0</v>
      </c>
      <c r="AD126">
        <f>ROUND((((ET126)-(EU126))+AE126),6)</f>
        <v>80.25</v>
      </c>
      <c r="AE126">
        <f t="shared" si="131"/>
        <v>25.84</v>
      </c>
      <c r="AF126">
        <f t="shared" si="131"/>
        <v>0</v>
      </c>
      <c r="AG126">
        <f t="shared" si="132"/>
        <v>0</v>
      </c>
      <c r="AH126">
        <f t="shared" si="133"/>
        <v>0</v>
      </c>
      <c r="AI126">
        <f t="shared" si="133"/>
        <v>0</v>
      </c>
      <c r="AJ126">
        <f t="shared" si="134"/>
        <v>0</v>
      </c>
      <c r="AK126">
        <v>80.25</v>
      </c>
      <c r="AL126">
        <v>0</v>
      </c>
      <c r="AM126">
        <v>80.25</v>
      </c>
      <c r="AN126">
        <v>25.84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70</v>
      </c>
      <c r="AU126">
        <v>10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1</v>
      </c>
      <c r="BD126" t="s">
        <v>3</v>
      </c>
      <c r="BE126" t="s">
        <v>3</v>
      </c>
      <c r="BF126" t="s">
        <v>3</v>
      </c>
      <c r="BG126" t="s">
        <v>3</v>
      </c>
      <c r="BH126">
        <v>0</v>
      </c>
      <c r="BI126">
        <v>4</v>
      </c>
      <c r="BJ126" t="s">
        <v>152</v>
      </c>
      <c r="BM126">
        <v>0</v>
      </c>
      <c r="BN126">
        <v>0</v>
      </c>
      <c r="BO126" t="s">
        <v>3</v>
      </c>
      <c r="BP126">
        <v>0</v>
      </c>
      <c r="BQ126">
        <v>1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70</v>
      </c>
      <c r="CA126">
        <v>10</v>
      </c>
      <c r="CE126">
        <v>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35"/>
        <v>6822.66</v>
      </c>
      <c r="CQ126">
        <f t="shared" si="136"/>
        <v>0</v>
      </c>
      <c r="CR126">
        <f>((((ET126)*BB126-(EU126)*BS126)+AE126*BS126)*AV126)</f>
        <v>80.25</v>
      </c>
      <c r="CS126">
        <f t="shared" si="137"/>
        <v>25.84</v>
      </c>
      <c r="CT126">
        <f t="shared" si="138"/>
        <v>0</v>
      </c>
      <c r="CU126">
        <f t="shared" si="139"/>
        <v>0</v>
      </c>
      <c r="CV126">
        <f t="shared" si="140"/>
        <v>0</v>
      </c>
      <c r="CW126">
        <f t="shared" si="141"/>
        <v>0</v>
      </c>
      <c r="CX126">
        <f t="shared" si="142"/>
        <v>0</v>
      </c>
      <c r="CY126">
        <f t="shared" si="143"/>
        <v>0</v>
      </c>
      <c r="CZ126">
        <f t="shared" si="144"/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0</v>
      </c>
      <c r="DO126">
        <v>0</v>
      </c>
      <c r="DP126">
        <v>1</v>
      </c>
      <c r="DQ126">
        <v>1</v>
      </c>
      <c r="DU126">
        <v>1009</v>
      </c>
      <c r="DV126" t="s">
        <v>68</v>
      </c>
      <c r="DW126" t="s">
        <v>68</v>
      </c>
      <c r="DX126">
        <v>1000</v>
      </c>
      <c r="EE126">
        <v>40658659</v>
      </c>
      <c r="EF126">
        <v>1</v>
      </c>
      <c r="EG126" t="s">
        <v>24</v>
      </c>
      <c r="EH126">
        <v>0</v>
      </c>
      <c r="EI126" t="s">
        <v>3</v>
      </c>
      <c r="EJ126">
        <v>4</v>
      </c>
      <c r="EK126">
        <v>0</v>
      </c>
      <c r="EL126" t="s">
        <v>25</v>
      </c>
      <c r="EM126" t="s">
        <v>26</v>
      </c>
      <c r="EO126" t="s">
        <v>3</v>
      </c>
      <c r="EQ126">
        <v>131072</v>
      </c>
      <c r="ER126">
        <v>80.25</v>
      </c>
      <c r="ES126">
        <v>0</v>
      </c>
      <c r="ET126">
        <v>80.25</v>
      </c>
      <c r="EU126">
        <v>25.84</v>
      </c>
      <c r="EV126">
        <v>0</v>
      </c>
      <c r="EW126">
        <v>0</v>
      </c>
      <c r="EX126">
        <v>0</v>
      </c>
      <c r="EY126">
        <v>0</v>
      </c>
      <c r="FQ126">
        <v>0</v>
      </c>
      <c r="FR126">
        <f t="shared" si="145"/>
        <v>0</v>
      </c>
      <c r="FS126">
        <v>0</v>
      </c>
      <c r="FX126">
        <v>70</v>
      </c>
      <c r="FY126">
        <v>10</v>
      </c>
      <c r="GA126" t="s">
        <v>3</v>
      </c>
      <c r="GD126">
        <v>0</v>
      </c>
      <c r="GF126">
        <v>-706956719</v>
      </c>
      <c r="GG126">
        <v>2</v>
      </c>
      <c r="GH126">
        <v>1</v>
      </c>
      <c r="GI126">
        <v>-2</v>
      </c>
      <c r="GJ126">
        <v>0</v>
      </c>
      <c r="GK126">
        <f>ROUND(R126*(R12)/100,2)</f>
        <v>2372.6</v>
      </c>
      <c r="GL126">
        <f t="shared" si="146"/>
        <v>0</v>
      </c>
      <c r="GM126">
        <f>ROUND(O126+X126+Y126+GK126,2)+GX126</f>
        <v>9195.26</v>
      </c>
      <c r="GN126">
        <f>IF(OR(BI126=0,BI126=1),ROUND(O126+X126+Y126+GK126,2),0)</f>
        <v>0</v>
      </c>
      <c r="GO126">
        <f>IF(BI126=2,ROUND(O126+X126+Y126+GK126,2),0)</f>
        <v>0</v>
      </c>
      <c r="GP126">
        <f>IF(BI126=4,ROUND(O126+X126+Y126+GK126,2)+GX126,0)</f>
        <v>9195.26</v>
      </c>
      <c r="GR126">
        <v>0</v>
      </c>
      <c r="GS126">
        <v>3</v>
      </c>
      <c r="GT126">
        <v>0</v>
      </c>
      <c r="GU126" t="s">
        <v>3</v>
      </c>
      <c r="GV126">
        <f t="shared" si="147"/>
        <v>0</v>
      </c>
      <c r="GW126">
        <v>1</v>
      </c>
      <c r="GX126">
        <f t="shared" si="148"/>
        <v>0</v>
      </c>
      <c r="HA126">
        <v>0</v>
      </c>
      <c r="HB126">
        <v>0</v>
      </c>
      <c r="HC126">
        <f t="shared" si="149"/>
        <v>0</v>
      </c>
      <c r="IK126">
        <v>0</v>
      </c>
    </row>
    <row r="127" spans="1:245" x14ac:dyDescent="0.2">
      <c r="A127">
        <v>17</v>
      </c>
      <c r="B127">
        <v>1</v>
      </c>
      <c r="C127">
        <f>ROW(SmtRes!A63)</f>
        <v>63</v>
      </c>
      <c r="D127">
        <f>ROW(EtalonRes!A61)</f>
        <v>61</v>
      </c>
      <c r="E127" t="s">
        <v>153</v>
      </c>
      <c r="F127" t="s">
        <v>154</v>
      </c>
      <c r="G127" t="s">
        <v>155</v>
      </c>
      <c r="H127" t="s">
        <v>68</v>
      </c>
      <c r="I127">
        <f>ROUND(I125,9)</f>
        <v>7.9257600000000004</v>
      </c>
      <c r="J127">
        <v>0</v>
      </c>
      <c r="O127">
        <f t="shared" si="119"/>
        <v>1314.96</v>
      </c>
      <c r="P127">
        <f t="shared" si="120"/>
        <v>0</v>
      </c>
      <c r="Q127">
        <f t="shared" si="121"/>
        <v>1314.96</v>
      </c>
      <c r="R127">
        <f t="shared" si="122"/>
        <v>714.75</v>
      </c>
      <c r="S127">
        <f t="shared" si="123"/>
        <v>0</v>
      </c>
      <c r="T127">
        <f t="shared" si="124"/>
        <v>0</v>
      </c>
      <c r="U127">
        <f t="shared" si="125"/>
        <v>0</v>
      </c>
      <c r="V127">
        <f t="shared" si="126"/>
        <v>0</v>
      </c>
      <c r="W127">
        <f t="shared" si="127"/>
        <v>0</v>
      </c>
      <c r="X127">
        <f t="shared" si="128"/>
        <v>0</v>
      </c>
      <c r="Y127">
        <f t="shared" si="129"/>
        <v>0</v>
      </c>
      <c r="AA127">
        <v>42184655</v>
      </c>
      <c r="AB127">
        <f t="shared" si="130"/>
        <v>165.91</v>
      </c>
      <c r="AC127">
        <f>ROUND((ES127),6)</f>
        <v>0</v>
      </c>
      <c r="AD127">
        <f>ROUND((((ET127)-(EU127))+AE127),6)</f>
        <v>165.91</v>
      </c>
      <c r="AE127">
        <f t="shared" si="131"/>
        <v>90.18</v>
      </c>
      <c r="AF127">
        <f t="shared" si="131"/>
        <v>0</v>
      </c>
      <c r="AG127">
        <f t="shared" si="132"/>
        <v>0</v>
      </c>
      <c r="AH127">
        <f t="shared" si="133"/>
        <v>0</v>
      </c>
      <c r="AI127">
        <f t="shared" si="133"/>
        <v>0</v>
      </c>
      <c r="AJ127">
        <f t="shared" si="134"/>
        <v>0</v>
      </c>
      <c r="AK127">
        <v>165.91</v>
      </c>
      <c r="AL127">
        <v>0</v>
      </c>
      <c r="AM127">
        <v>165.91</v>
      </c>
      <c r="AN127">
        <v>90.18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1</v>
      </c>
      <c r="BD127" t="s">
        <v>3</v>
      </c>
      <c r="BE127" t="s">
        <v>3</v>
      </c>
      <c r="BF127" t="s">
        <v>3</v>
      </c>
      <c r="BG127" t="s">
        <v>3</v>
      </c>
      <c r="BH127">
        <v>0</v>
      </c>
      <c r="BI127">
        <v>4</v>
      </c>
      <c r="BJ127" t="s">
        <v>156</v>
      </c>
      <c r="BM127">
        <v>1</v>
      </c>
      <c r="BN127">
        <v>0</v>
      </c>
      <c r="BO127" t="s">
        <v>3</v>
      </c>
      <c r="BP127">
        <v>0</v>
      </c>
      <c r="BQ127">
        <v>1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3</v>
      </c>
      <c r="BZ127">
        <v>0</v>
      </c>
      <c r="CA127">
        <v>0</v>
      </c>
      <c r="CE127">
        <v>0</v>
      </c>
      <c r="CF127">
        <v>0</v>
      </c>
      <c r="CG127">
        <v>0</v>
      </c>
      <c r="CM127">
        <v>0</v>
      </c>
      <c r="CN127" t="s">
        <v>3</v>
      </c>
      <c r="CO127">
        <v>0</v>
      </c>
      <c r="CP127">
        <f t="shared" si="135"/>
        <v>1314.96</v>
      </c>
      <c r="CQ127">
        <f t="shared" si="136"/>
        <v>0</v>
      </c>
      <c r="CR127">
        <f>((((ET127)*BB127-(EU127)*BS127)+AE127*BS127)*AV127)</f>
        <v>165.91</v>
      </c>
      <c r="CS127">
        <f t="shared" si="137"/>
        <v>90.18</v>
      </c>
      <c r="CT127">
        <f t="shared" si="138"/>
        <v>0</v>
      </c>
      <c r="CU127">
        <f t="shared" si="139"/>
        <v>0</v>
      </c>
      <c r="CV127">
        <f t="shared" si="140"/>
        <v>0</v>
      </c>
      <c r="CW127">
        <f t="shared" si="141"/>
        <v>0</v>
      </c>
      <c r="CX127">
        <f t="shared" si="142"/>
        <v>0</v>
      </c>
      <c r="CY127">
        <f t="shared" si="143"/>
        <v>0</v>
      </c>
      <c r="CZ127">
        <f t="shared" si="144"/>
        <v>0</v>
      </c>
      <c r="DC127" t="s">
        <v>3</v>
      </c>
      <c r="DD127" t="s">
        <v>3</v>
      </c>
      <c r="DE127" t="s">
        <v>3</v>
      </c>
      <c r="DF127" t="s">
        <v>3</v>
      </c>
      <c r="DG127" t="s">
        <v>3</v>
      </c>
      <c r="DH127" t="s">
        <v>3</v>
      </c>
      <c r="DI127" t="s">
        <v>3</v>
      </c>
      <c r="DJ127" t="s">
        <v>3</v>
      </c>
      <c r="DK127" t="s">
        <v>3</v>
      </c>
      <c r="DL127" t="s">
        <v>3</v>
      </c>
      <c r="DM127" t="s">
        <v>3</v>
      </c>
      <c r="DN127">
        <v>0</v>
      </c>
      <c r="DO127">
        <v>0</v>
      </c>
      <c r="DP127">
        <v>1</v>
      </c>
      <c r="DQ127">
        <v>1</v>
      </c>
      <c r="DU127">
        <v>1009</v>
      </c>
      <c r="DV127" t="s">
        <v>68</v>
      </c>
      <c r="DW127" t="s">
        <v>68</v>
      </c>
      <c r="DX127">
        <v>1000</v>
      </c>
      <c r="EE127">
        <v>40658662</v>
      </c>
      <c r="EF127">
        <v>1</v>
      </c>
      <c r="EG127" t="s">
        <v>24</v>
      </c>
      <c r="EH127">
        <v>0</v>
      </c>
      <c r="EI127" t="s">
        <v>3</v>
      </c>
      <c r="EJ127">
        <v>4</v>
      </c>
      <c r="EK127">
        <v>1</v>
      </c>
      <c r="EL127" t="s">
        <v>40</v>
      </c>
      <c r="EM127" t="s">
        <v>26</v>
      </c>
      <c r="EO127" t="s">
        <v>3</v>
      </c>
      <c r="EQ127">
        <v>0</v>
      </c>
      <c r="ER127">
        <v>165.91</v>
      </c>
      <c r="ES127">
        <v>0</v>
      </c>
      <c r="ET127">
        <v>165.91</v>
      </c>
      <c r="EU127">
        <v>90.18</v>
      </c>
      <c r="EV127">
        <v>0</v>
      </c>
      <c r="EW127">
        <v>0</v>
      </c>
      <c r="EX127">
        <v>0</v>
      </c>
      <c r="EY127">
        <v>0</v>
      </c>
      <c r="FQ127">
        <v>0</v>
      </c>
      <c r="FR127">
        <f t="shared" si="145"/>
        <v>0</v>
      </c>
      <c r="FS127">
        <v>0</v>
      </c>
      <c r="FX127">
        <v>0</v>
      </c>
      <c r="FY127">
        <v>0</v>
      </c>
      <c r="GA127" t="s">
        <v>3</v>
      </c>
      <c r="GD127">
        <v>1</v>
      </c>
      <c r="GF127">
        <v>1912105629</v>
      </c>
      <c r="GG127">
        <v>2</v>
      </c>
      <c r="GH127">
        <v>1</v>
      </c>
      <c r="GI127">
        <v>-2</v>
      </c>
      <c r="GJ127">
        <v>0</v>
      </c>
      <c r="GK127">
        <v>0</v>
      </c>
      <c r="GL127">
        <f t="shared" si="146"/>
        <v>0</v>
      </c>
      <c r="GM127">
        <f>ROUND(O127+X127+Y127,2)+GX127</f>
        <v>1314.96</v>
      </c>
      <c r="GN127">
        <f>IF(OR(BI127=0,BI127=1),ROUND(O127+X127+Y127,2),0)</f>
        <v>0</v>
      </c>
      <c r="GO127">
        <f>IF(BI127=2,ROUND(O127+X127+Y127,2),0)</f>
        <v>0</v>
      </c>
      <c r="GP127">
        <f>IF(BI127=4,ROUND(O127+X127+Y127,2)+GX127,0)</f>
        <v>1314.96</v>
      </c>
      <c r="GR127">
        <v>0</v>
      </c>
      <c r="GS127">
        <v>3</v>
      </c>
      <c r="GT127">
        <v>0</v>
      </c>
      <c r="GU127" t="s">
        <v>3</v>
      </c>
      <c r="GV127">
        <f t="shared" si="147"/>
        <v>0</v>
      </c>
      <c r="GW127">
        <v>1</v>
      </c>
      <c r="GX127">
        <f t="shared" si="148"/>
        <v>0</v>
      </c>
      <c r="HA127">
        <v>0</v>
      </c>
      <c r="HB127">
        <v>0</v>
      </c>
      <c r="HC127">
        <f t="shared" si="149"/>
        <v>0</v>
      </c>
      <c r="IK127">
        <v>0</v>
      </c>
    </row>
    <row r="128" spans="1:245" x14ac:dyDescent="0.2">
      <c r="A128">
        <v>17</v>
      </c>
      <c r="B128">
        <v>1</v>
      </c>
      <c r="C128">
        <f>ROW(SmtRes!A65)</f>
        <v>65</v>
      </c>
      <c r="D128">
        <f>ROW(EtalonRes!A63)</f>
        <v>63</v>
      </c>
      <c r="E128" t="s">
        <v>157</v>
      </c>
      <c r="F128" t="s">
        <v>158</v>
      </c>
      <c r="G128" t="s">
        <v>159</v>
      </c>
      <c r="H128" t="s">
        <v>68</v>
      </c>
      <c r="I128">
        <f>ROUND(I126,9)</f>
        <v>85.017600000000002</v>
      </c>
      <c r="J128">
        <v>0</v>
      </c>
      <c r="O128">
        <f t="shared" si="119"/>
        <v>4916.57</v>
      </c>
      <c r="P128">
        <f t="shared" si="120"/>
        <v>0</v>
      </c>
      <c r="Q128">
        <f t="shared" si="121"/>
        <v>4916.57</v>
      </c>
      <c r="R128">
        <f t="shared" si="122"/>
        <v>2672.95</v>
      </c>
      <c r="S128">
        <f t="shared" si="123"/>
        <v>0</v>
      </c>
      <c r="T128">
        <f t="shared" si="124"/>
        <v>0</v>
      </c>
      <c r="U128">
        <f t="shared" si="125"/>
        <v>0</v>
      </c>
      <c r="V128">
        <f t="shared" si="126"/>
        <v>0</v>
      </c>
      <c r="W128">
        <f t="shared" si="127"/>
        <v>0</v>
      </c>
      <c r="X128">
        <f t="shared" si="128"/>
        <v>0</v>
      </c>
      <c r="Y128">
        <f t="shared" si="129"/>
        <v>0</v>
      </c>
      <c r="AA128">
        <v>42184655</v>
      </c>
      <c r="AB128">
        <f t="shared" si="130"/>
        <v>57.83</v>
      </c>
      <c r="AC128">
        <f>ROUND((ES128),6)</f>
        <v>0</v>
      </c>
      <c r="AD128">
        <f>ROUND((((ET128)-(EU128))+AE128),6)</f>
        <v>57.83</v>
      </c>
      <c r="AE128">
        <f t="shared" si="131"/>
        <v>31.44</v>
      </c>
      <c r="AF128">
        <f t="shared" si="131"/>
        <v>0</v>
      </c>
      <c r="AG128">
        <f t="shared" si="132"/>
        <v>0</v>
      </c>
      <c r="AH128">
        <f t="shared" si="133"/>
        <v>0</v>
      </c>
      <c r="AI128">
        <f t="shared" si="133"/>
        <v>0</v>
      </c>
      <c r="AJ128">
        <f t="shared" si="134"/>
        <v>0</v>
      </c>
      <c r="AK128">
        <v>57.83</v>
      </c>
      <c r="AL128">
        <v>0</v>
      </c>
      <c r="AM128">
        <v>57.83</v>
      </c>
      <c r="AN128">
        <v>31.44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1</v>
      </c>
      <c r="AW128">
        <v>1</v>
      </c>
      <c r="AZ128">
        <v>1</v>
      </c>
      <c r="BA128">
        <v>1</v>
      </c>
      <c r="BB128">
        <v>1</v>
      </c>
      <c r="BC128">
        <v>1</v>
      </c>
      <c r="BD128" t="s">
        <v>3</v>
      </c>
      <c r="BE128" t="s">
        <v>3</v>
      </c>
      <c r="BF128" t="s">
        <v>3</v>
      </c>
      <c r="BG128" t="s">
        <v>3</v>
      </c>
      <c r="BH128">
        <v>0</v>
      </c>
      <c r="BI128">
        <v>4</v>
      </c>
      <c r="BJ128" t="s">
        <v>160</v>
      </c>
      <c r="BM128">
        <v>1</v>
      </c>
      <c r="BN128">
        <v>0</v>
      </c>
      <c r="BO128" t="s">
        <v>3</v>
      </c>
      <c r="BP128">
        <v>0</v>
      </c>
      <c r="BQ128">
        <v>1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0</v>
      </c>
      <c r="CA128">
        <v>0</v>
      </c>
      <c r="CE128">
        <v>0</v>
      </c>
      <c r="CF128">
        <v>0</v>
      </c>
      <c r="CG128">
        <v>0</v>
      </c>
      <c r="CM128">
        <v>0</v>
      </c>
      <c r="CN128" t="s">
        <v>3</v>
      </c>
      <c r="CO128">
        <v>0</v>
      </c>
      <c r="CP128">
        <f t="shared" si="135"/>
        <v>4916.57</v>
      </c>
      <c r="CQ128">
        <f t="shared" si="136"/>
        <v>0</v>
      </c>
      <c r="CR128">
        <f>((((ET128)*BB128-(EU128)*BS128)+AE128*BS128)*AV128)</f>
        <v>57.83</v>
      </c>
      <c r="CS128">
        <f t="shared" si="137"/>
        <v>31.44</v>
      </c>
      <c r="CT128">
        <f t="shared" si="138"/>
        <v>0</v>
      </c>
      <c r="CU128">
        <f t="shared" si="139"/>
        <v>0</v>
      </c>
      <c r="CV128">
        <f t="shared" si="140"/>
        <v>0</v>
      </c>
      <c r="CW128">
        <f t="shared" si="141"/>
        <v>0</v>
      </c>
      <c r="CX128">
        <f t="shared" si="142"/>
        <v>0</v>
      </c>
      <c r="CY128">
        <f t="shared" si="143"/>
        <v>0</v>
      </c>
      <c r="CZ128">
        <f t="shared" si="144"/>
        <v>0</v>
      </c>
      <c r="DC128" t="s">
        <v>3</v>
      </c>
      <c r="DD128" t="s">
        <v>3</v>
      </c>
      <c r="DE128" t="s">
        <v>3</v>
      </c>
      <c r="DF128" t="s">
        <v>3</v>
      </c>
      <c r="DG128" t="s">
        <v>3</v>
      </c>
      <c r="DH128" t="s">
        <v>3</v>
      </c>
      <c r="DI128" t="s">
        <v>3</v>
      </c>
      <c r="DJ128" t="s">
        <v>3</v>
      </c>
      <c r="DK128" t="s">
        <v>3</v>
      </c>
      <c r="DL128" t="s">
        <v>3</v>
      </c>
      <c r="DM128" t="s">
        <v>3</v>
      </c>
      <c r="DN128">
        <v>0</v>
      </c>
      <c r="DO128">
        <v>0</v>
      </c>
      <c r="DP128">
        <v>1</v>
      </c>
      <c r="DQ128">
        <v>1</v>
      </c>
      <c r="DU128">
        <v>1009</v>
      </c>
      <c r="DV128" t="s">
        <v>68</v>
      </c>
      <c r="DW128" t="s">
        <v>68</v>
      </c>
      <c r="DX128">
        <v>1000</v>
      </c>
      <c r="EE128">
        <v>40658662</v>
      </c>
      <c r="EF128">
        <v>1</v>
      </c>
      <c r="EG128" t="s">
        <v>24</v>
      </c>
      <c r="EH128">
        <v>0</v>
      </c>
      <c r="EI128" t="s">
        <v>3</v>
      </c>
      <c r="EJ128">
        <v>4</v>
      </c>
      <c r="EK128">
        <v>1</v>
      </c>
      <c r="EL128" t="s">
        <v>40</v>
      </c>
      <c r="EM128" t="s">
        <v>26</v>
      </c>
      <c r="EO128" t="s">
        <v>3</v>
      </c>
      <c r="EQ128">
        <v>131072</v>
      </c>
      <c r="ER128">
        <v>57.83</v>
      </c>
      <c r="ES128">
        <v>0</v>
      </c>
      <c r="ET128">
        <v>57.83</v>
      </c>
      <c r="EU128">
        <v>31.44</v>
      </c>
      <c r="EV128">
        <v>0</v>
      </c>
      <c r="EW128">
        <v>0</v>
      </c>
      <c r="EX128">
        <v>0</v>
      </c>
      <c r="EY128">
        <v>0</v>
      </c>
      <c r="FQ128">
        <v>0</v>
      </c>
      <c r="FR128">
        <f t="shared" si="145"/>
        <v>0</v>
      </c>
      <c r="FS128">
        <v>0</v>
      </c>
      <c r="FX128">
        <v>0</v>
      </c>
      <c r="FY128">
        <v>0</v>
      </c>
      <c r="GA128" t="s">
        <v>3</v>
      </c>
      <c r="GD128">
        <v>1</v>
      </c>
      <c r="GF128">
        <v>-1870736679</v>
      </c>
      <c r="GG128">
        <v>2</v>
      </c>
      <c r="GH128">
        <v>1</v>
      </c>
      <c r="GI128">
        <v>-2</v>
      </c>
      <c r="GJ128">
        <v>0</v>
      </c>
      <c r="GK128">
        <v>0</v>
      </c>
      <c r="GL128">
        <f t="shared" si="146"/>
        <v>0</v>
      </c>
      <c r="GM128">
        <f>ROUND(O128+X128+Y128,2)+GX128</f>
        <v>4916.57</v>
      </c>
      <c r="GN128">
        <f>IF(OR(BI128=0,BI128=1),ROUND(O128+X128+Y128,2),0)</f>
        <v>0</v>
      </c>
      <c r="GO128">
        <f>IF(BI128=2,ROUND(O128+X128+Y128,2),0)</f>
        <v>0</v>
      </c>
      <c r="GP128">
        <f>IF(BI128=4,ROUND(O128+X128+Y128,2)+GX128,0)</f>
        <v>4916.57</v>
      </c>
      <c r="GR128">
        <v>0</v>
      </c>
      <c r="GS128">
        <v>3</v>
      </c>
      <c r="GT128">
        <v>0</v>
      </c>
      <c r="GU128" t="s">
        <v>3</v>
      </c>
      <c r="GV128">
        <f t="shared" si="147"/>
        <v>0</v>
      </c>
      <c r="GW128">
        <v>1</v>
      </c>
      <c r="GX128">
        <f t="shared" si="148"/>
        <v>0</v>
      </c>
      <c r="HA128">
        <v>0</v>
      </c>
      <c r="HB128">
        <v>0</v>
      </c>
      <c r="HC128">
        <f t="shared" si="149"/>
        <v>0</v>
      </c>
      <c r="IK128">
        <v>0</v>
      </c>
    </row>
    <row r="129" spans="1:245" x14ac:dyDescent="0.2">
      <c r="A129">
        <v>17</v>
      </c>
      <c r="B129">
        <v>1</v>
      </c>
      <c r="C129">
        <f>ROW(SmtRes!A67)</f>
        <v>67</v>
      </c>
      <c r="D129">
        <f>ROW(EtalonRes!A65)</f>
        <v>65</v>
      </c>
      <c r="E129" t="s">
        <v>161</v>
      </c>
      <c r="F129" t="s">
        <v>162</v>
      </c>
      <c r="G129" t="s">
        <v>163</v>
      </c>
      <c r="H129" t="s">
        <v>68</v>
      </c>
      <c r="I129">
        <f>ROUND(I128+I127,9)</f>
        <v>92.943359999999998</v>
      </c>
      <c r="J129">
        <v>0</v>
      </c>
      <c r="O129">
        <f t="shared" si="119"/>
        <v>129831.65</v>
      </c>
      <c r="P129">
        <f t="shared" si="120"/>
        <v>0</v>
      </c>
      <c r="Q129">
        <f t="shared" si="121"/>
        <v>129831.65</v>
      </c>
      <c r="R129">
        <f t="shared" si="122"/>
        <v>70580.259999999995</v>
      </c>
      <c r="S129">
        <f t="shared" si="123"/>
        <v>0</v>
      </c>
      <c r="T129">
        <f t="shared" si="124"/>
        <v>0</v>
      </c>
      <c r="U129">
        <f t="shared" si="125"/>
        <v>0</v>
      </c>
      <c r="V129">
        <f t="shared" si="126"/>
        <v>0</v>
      </c>
      <c r="W129">
        <f t="shared" si="127"/>
        <v>0</v>
      </c>
      <c r="X129">
        <f t="shared" si="128"/>
        <v>0</v>
      </c>
      <c r="Y129">
        <f t="shared" si="129"/>
        <v>0</v>
      </c>
      <c r="AA129">
        <v>42184655</v>
      </c>
      <c r="AB129">
        <f t="shared" si="130"/>
        <v>1396.89</v>
      </c>
      <c r="AC129">
        <f>ROUND(((ES129*51)),6)</f>
        <v>0</v>
      </c>
      <c r="AD129">
        <f>ROUND(((((ET129*51))-((EU129*51)))+AE129),6)</f>
        <v>1396.89</v>
      </c>
      <c r="AE129">
        <f>ROUND(((EU129*51)),6)</f>
        <v>759.39</v>
      </c>
      <c r="AF129">
        <f>ROUND(((EV129*51)),6)</f>
        <v>0</v>
      </c>
      <c r="AG129">
        <f t="shared" si="132"/>
        <v>0</v>
      </c>
      <c r="AH129">
        <f>((EW129*51))</f>
        <v>0</v>
      </c>
      <c r="AI129">
        <f>((EX129*51))</f>
        <v>0</v>
      </c>
      <c r="AJ129">
        <f t="shared" si="134"/>
        <v>0</v>
      </c>
      <c r="AK129">
        <v>27.39</v>
      </c>
      <c r="AL129">
        <v>0</v>
      </c>
      <c r="AM129">
        <v>27.39</v>
      </c>
      <c r="AN129">
        <v>14.89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1</v>
      </c>
      <c r="BD129" t="s">
        <v>3</v>
      </c>
      <c r="BE129" t="s">
        <v>3</v>
      </c>
      <c r="BF129" t="s">
        <v>3</v>
      </c>
      <c r="BG129" t="s">
        <v>3</v>
      </c>
      <c r="BH129">
        <v>0</v>
      </c>
      <c r="BI129">
        <v>4</v>
      </c>
      <c r="BJ129" t="s">
        <v>164</v>
      </c>
      <c r="BM129">
        <v>1</v>
      </c>
      <c r="BN129">
        <v>0</v>
      </c>
      <c r="BO129" t="s">
        <v>3</v>
      </c>
      <c r="BP129">
        <v>0</v>
      </c>
      <c r="BQ129">
        <v>1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3</v>
      </c>
      <c r="BZ129">
        <v>0</v>
      </c>
      <c r="CA129">
        <v>0</v>
      </c>
      <c r="CE129">
        <v>0</v>
      </c>
      <c r="CF129">
        <v>0</v>
      </c>
      <c r="CG129">
        <v>0</v>
      </c>
      <c r="CM129">
        <v>0</v>
      </c>
      <c r="CN129" t="s">
        <v>3</v>
      </c>
      <c r="CO129">
        <v>0</v>
      </c>
      <c r="CP129">
        <f t="shared" si="135"/>
        <v>129831.65</v>
      </c>
      <c r="CQ129">
        <f t="shared" si="136"/>
        <v>0</v>
      </c>
      <c r="CR129">
        <f>(((((ET129*51))*BB129-((EU129*51))*BS129)+AE129*BS129)*AV129)</f>
        <v>1396.89</v>
      </c>
      <c r="CS129">
        <f t="shared" si="137"/>
        <v>759.39</v>
      </c>
      <c r="CT129">
        <f t="shared" si="138"/>
        <v>0</v>
      </c>
      <c r="CU129">
        <f t="shared" si="139"/>
        <v>0</v>
      </c>
      <c r="CV129">
        <f t="shared" si="140"/>
        <v>0</v>
      </c>
      <c r="CW129">
        <f t="shared" si="141"/>
        <v>0</v>
      </c>
      <c r="CX129">
        <f t="shared" si="142"/>
        <v>0</v>
      </c>
      <c r="CY129">
        <f t="shared" si="143"/>
        <v>0</v>
      </c>
      <c r="CZ129">
        <f t="shared" si="144"/>
        <v>0</v>
      </c>
      <c r="DC129" t="s">
        <v>3</v>
      </c>
      <c r="DD129" t="s">
        <v>165</v>
      </c>
      <c r="DE129" t="s">
        <v>165</v>
      </c>
      <c r="DF129" t="s">
        <v>165</v>
      </c>
      <c r="DG129" t="s">
        <v>165</v>
      </c>
      <c r="DH129" t="s">
        <v>3</v>
      </c>
      <c r="DI129" t="s">
        <v>165</v>
      </c>
      <c r="DJ129" t="s">
        <v>165</v>
      </c>
      <c r="DK129" t="s">
        <v>3</v>
      </c>
      <c r="DL129" t="s">
        <v>3</v>
      </c>
      <c r="DM129" t="s">
        <v>3</v>
      </c>
      <c r="DN129">
        <v>0</v>
      </c>
      <c r="DO129">
        <v>0</v>
      </c>
      <c r="DP129">
        <v>1</v>
      </c>
      <c r="DQ129">
        <v>1</v>
      </c>
      <c r="DU129">
        <v>1009</v>
      </c>
      <c r="DV129" t="s">
        <v>68</v>
      </c>
      <c r="DW129" t="s">
        <v>68</v>
      </c>
      <c r="DX129">
        <v>1000</v>
      </c>
      <c r="EE129">
        <v>40658662</v>
      </c>
      <c r="EF129">
        <v>1</v>
      </c>
      <c r="EG129" t="s">
        <v>24</v>
      </c>
      <c r="EH129">
        <v>0</v>
      </c>
      <c r="EI129" t="s">
        <v>3</v>
      </c>
      <c r="EJ129">
        <v>4</v>
      </c>
      <c r="EK129">
        <v>1</v>
      </c>
      <c r="EL129" t="s">
        <v>40</v>
      </c>
      <c r="EM129" t="s">
        <v>26</v>
      </c>
      <c r="EO129" t="s">
        <v>3</v>
      </c>
      <c r="EQ129">
        <v>131072</v>
      </c>
      <c r="ER129">
        <v>27.39</v>
      </c>
      <c r="ES129">
        <v>0</v>
      </c>
      <c r="ET129">
        <v>27.39</v>
      </c>
      <c r="EU129">
        <v>14.89</v>
      </c>
      <c r="EV129">
        <v>0</v>
      </c>
      <c r="EW129">
        <v>0</v>
      </c>
      <c r="EX129">
        <v>0</v>
      </c>
      <c r="EY129">
        <v>0</v>
      </c>
      <c r="FQ129">
        <v>0</v>
      </c>
      <c r="FR129">
        <f t="shared" si="145"/>
        <v>0</v>
      </c>
      <c r="FS129">
        <v>0</v>
      </c>
      <c r="FX129">
        <v>0</v>
      </c>
      <c r="FY129">
        <v>0</v>
      </c>
      <c r="GA129" t="s">
        <v>3</v>
      </c>
      <c r="GD129">
        <v>1</v>
      </c>
      <c r="GF129">
        <v>972108674</v>
      </c>
      <c r="GG129">
        <v>2</v>
      </c>
      <c r="GH129">
        <v>1</v>
      </c>
      <c r="GI129">
        <v>-2</v>
      </c>
      <c r="GJ129">
        <v>0</v>
      </c>
      <c r="GK129">
        <v>0</v>
      </c>
      <c r="GL129">
        <f t="shared" si="146"/>
        <v>0</v>
      </c>
      <c r="GM129">
        <f>ROUND(O129+X129+Y129,2)+GX129</f>
        <v>129831.65</v>
      </c>
      <c r="GN129">
        <f>IF(OR(BI129=0,BI129=1),ROUND(O129+X129+Y129,2),0)</f>
        <v>0</v>
      </c>
      <c r="GO129">
        <f>IF(BI129=2,ROUND(O129+X129+Y129,2),0)</f>
        <v>0</v>
      </c>
      <c r="GP129">
        <f>IF(BI129=4,ROUND(O129+X129+Y129,2)+GX129,0)</f>
        <v>129831.65</v>
      </c>
      <c r="GR129">
        <v>0</v>
      </c>
      <c r="GS129">
        <v>3</v>
      </c>
      <c r="GT129">
        <v>0</v>
      </c>
      <c r="GU129" t="s">
        <v>3</v>
      </c>
      <c r="GV129">
        <f t="shared" si="147"/>
        <v>0</v>
      </c>
      <c r="GW129">
        <v>1</v>
      </c>
      <c r="GX129">
        <f t="shared" si="148"/>
        <v>0</v>
      </c>
      <c r="HA129">
        <v>0</v>
      </c>
      <c r="HB129">
        <v>0</v>
      </c>
      <c r="HC129">
        <f t="shared" si="149"/>
        <v>0</v>
      </c>
      <c r="IK129">
        <v>0</v>
      </c>
    </row>
    <row r="130" spans="1:245" x14ac:dyDescent="0.2">
      <c r="A130">
        <v>17</v>
      </c>
      <c r="B130">
        <v>1</v>
      </c>
      <c r="E130" t="s">
        <v>166</v>
      </c>
      <c r="F130" t="s">
        <v>47</v>
      </c>
      <c r="G130" t="s">
        <v>167</v>
      </c>
      <c r="H130" t="s">
        <v>68</v>
      </c>
      <c r="I130">
        <f>ROUND(I129,9)</f>
        <v>92.943359999999998</v>
      </c>
      <c r="J130">
        <v>0</v>
      </c>
      <c r="O130">
        <f t="shared" si="119"/>
        <v>13998.2</v>
      </c>
      <c r="P130">
        <f t="shared" si="120"/>
        <v>13998.2</v>
      </c>
      <c r="Q130">
        <f t="shared" si="121"/>
        <v>0</v>
      </c>
      <c r="R130">
        <f t="shared" si="122"/>
        <v>0</v>
      </c>
      <c r="S130">
        <f t="shared" si="123"/>
        <v>0</v>
      </c>
      <c r="T130">
        <f t="shared" si="124"/>
        <v>0</v>
      </c>
      <c r="U130">
        <f t="shared" si="125"/>
        <v>0</v>
      </c>
      <c r="V130">
        <f t="shared" si="126"/>
        <v>0</v>
      </c>
      <c r="W130">
        <f t="shared" si="127"/>
        <v>0</v>
      </c>
      <c r="X130">
        <f t="shared" si="128"/>
        <v>0</v>
      </c>
      <c r="Y130">
        <f t="shared" si="129"/>
        <v>0</v>
      </c>
      <c r="AA130">
        <v>42184655</v>
      </c>
      <c r="AB130">
        <f t="shared" si="130"/>
        <v>150.61000000000001</v>
      </c>
      <c r="AC130">
        <f>ROUND((ES130),6)</f>
        <v>150.61000000000001</v>
      </c>
      <c r="AD130">
        <f>ROUND((((ET130)-(EU130))+AE130),6)</f>
        <v>0</v>
      </c>
      <c r="AE130">
        <f t="shared" ref="AE130:AF132" si="150">ROUND((EU130),6)</f>
        <v>0</v>
      </c>
      <c r="AF130">
        <f t="shared" si="150"/>
        <v>0</v>
      </c>
      <c r="AG130">
        <f t="shared" si="132"/>
        <v>0</v>
      </c>
      <c r="AH130">
        <f t="shared" ref="AH130:AI132" si="151">(EW130)</f>
        <v>0</v>
      </c>
      <c r="AI130">
        <f t="shared" si="151"/>
        <v>0</v>
      </c>
      <c r="AJ130">
        <f t="shared" si="134"/>
        <v>0</v>
      </c>
      <c r="AK130">
        <v>150.61000000000001</v>
      </c>
      <c r="AL130">
        <v>150.61000000000001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1</v>
      </c>
      <c r="AZ130">
        <v>1</v>
      </c>
      <c r="BA130">
        <v>1</v>
      </c>
      <c r="BB130">
        <v>1</v>
      </c>
      <c r="BC130">
        <v>1</v>
      </c>
      <c r="BD130" t="s">
        <v>3</v>
      </c>
      <c r="BE130" t="s">
        <v>3</v>
      </c>
      <c r="BF130" t="s">
        <v>3</v>
      </c>
      <c r="BG130" t="s">
        <v>3</v>
      </c>
      <c r="BH130">
        <v>3</v>
      </c>
      <c r="BI130">
        <v>1</v>
      </c>
      <c r="BJ130" t="s">
        <v>3</v>
      </c>
      <c r="BM130">
        <v>6001</v>
      </c>
      <c r="BN130">
        <v>0</v>
      </c>
      <c r="BO130" t="s">
        <v>3</v>
      </c>
      <c r="BP130">
        <v>0</v>
      </c>
      <c r="BQ130">
        <v>0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 t="s">
        <v>3</v>
      </c>
      <c r="BZ130">
        <v>0</v>
      </c>
      <c r="CA130">
        <v>0</v>
      </c>
      <c r="CE130">
        <v>0</v>
      </c>
      <c r="CF130">
        <v>0</v>
      </c>
      <c r="CG130">
        <v>0</v>
      </c>
      <c r="CM130">
        <v>0</v>
      </c>
      <c r="CN130" t="s">
        <v>3</v>
      </c>
      <c r="CO130">
        <v>0</v>
      </c>
      <c r="CP130">
        <f t="shared" si="135"/>
        <v>13998.2</v>
      </c>
      <c r="CQ130">
        <f t="shared" si="136"/>
        <v>150.61000000000001</v>
      </c>
      <c r="CR130">
        <f>((((ET130)*BB130-(EU130)*BS130)+AE130*BS130)*AV130)</f>
        <v>0</v>
      </c>
      <c r="CS130">
        <f t="shared" si="137"/>
        <v>0</v>
      </c>
      <c r="CT130">
        <f t="shared" si="138"/>
        <v>0</v>
      </c>
      <c r="CU130">
        <f t="shared" si="139"/>
        <v>0</v>
      </c>
      <c r="CV130">
        <f t="shared" si="140"/>
        <v>0</v>
      </c>
      <c r="CW130">
        <f t="shared" si="141"/>
        <v>0</v>
      </c>
      <c r="CX130">
        <f t="shared" si="142"/>
        <v>0</v>
      </c>
      <c r="CY130">
        <f t="shared" si="143"/>
        <v>0</v>
      </c>
      <c r="CZ130">
        <f t="shared" si="144"/>
        <v>0</v>
      </c>
      <c r="DC130" t="s">
        <v>3</v>
      </c>
      <c r="DD130" t="s">
        <v>3</v>
      </c>
      <c r="DE130" t="s">
        <v>3</v>
      </c>
      <c r="DF130" t="s">
        <v>3</v>
      </c>
      <c r="DG130" t="s">
        <v>3</v>
      </c>
      <c r="DH130" t="s">
        <v>3</v>
      </c>
      <c r="DI130" t="s">
        <v>3</v>
      </c>
      <c r="DJ130" t="s">
        <v>3</v>
      </c>
      <c r="DK130" t="s">
        <v>3</v>
      </c>
      <c r="DL130" t="s">
        <v>3</v>
      </c>
      <c r="DM130" t="s">
        <v>3</v>
      </c>
      <c r="DN130">
        <v>0</v>
      </c>
      <c r="DO130">
        <v>0</v>
      </c>
      <c r="DP130">
        <v>1</v>
      </c>
      <c r="DQ130">
        <v>1</v>
      </c>
      <c r="DU130">
        <v>1009</v>
      </c>
      <c r="DV130" t="s">
        <v>68</v>
      </c>
      <c r="DW130" t="s">
        <v>68</v>
      </c>
      <c r="DX130">
        <v>1000</v>
      </c>
      <c r="EE130">
        <v>42086242</v>
      </c>
      <c r="EF130">
        <v>0</v>
      </c>
      <c r="EG130" t="s">
        <v>49</v>
      </c>
      <c r="EH130">
        <v>0</v>
      </c>
      <c r="EI130" t="s">
        <v>3</v>
      </c>
      <c r="EJ130">
        <v>1</v>
      </c>
      <c r="EK130">
        <v>6001</v>
      </c>
      <c r="EL130" t="s">
        <v>50</v>
      </c>
      <c r="EM130" t="s">
        <v>49</v>
      </c>
      <c r="EO130" t="s">
        <v>3</v>
      </c>
      <c r="EQ130">
        <v>0</v>
      </c>
      <c r="ER130">
        <v>150.61000000000001</v>
      </c>
      <c r="ES130">
        <v>150.61000000000001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5</v>
      </c>
      <c r="FC130">
        <v>0</v>
      </c>
      <c r="FD130">
        <v>18</v>
      </c>
      <c r="FF130">
        <v>150.61000000000001</v>
      </c>
      <c r="FQ130">
        <v>0</v>
      </c>
      <c r="FR130">
        <f t="shared" si="145"/>
        <v>0</v>
      </c>
      <c r="FS130">
        <v>0</v>
      </c>
      <c r="FX130">
        <v>0</v>
      </c>
      <c r="FY130">
        <v>0</v>
      </c>
      <c r="GA130" t="s">
        <v>168</v>
      </c>
      <c r="GD130">
        <v>0</v>
      </c>
      <c r="GF130">
        <v>620836412</v>
      </c>
      <c r="GG130">
        <v>2</v>
      </c>
      <c r="GH130">
        <v>3</v>
      </c>
      <c r="GI130">
        <v>-2</v>
      </c>
      <c r="GJ130">
        <v>0</v>
      </c>
      <c r="GK130">
        <f>ROUND(R130*(R12)/100,2)</f>
        <v>0</v>
      </c>
      <c r="GL130">
        <f t="shared" si="146"/>
        <v>0</v>
      </c>
      <c r="GM130">
        <f>ROUND(O130+X130+Y130+GK130,2)+GX130</f>
        <v>13998.2</v>
      </c>
      <c r="GN130">
        <f>IF(OR(BI130=0,BI130=1),ROUND(O130+X130+Y130+GK130,2),0)</f>
        <v>13998.2</v>
      </c>
      <c r="GO130">
        <f>IF(BI130=2,ROUND(O130+X130+Y130+GK130,2),0)</f>
        <v>0</v>
      </c>
      <c r="GP130">
        <f>IF(BI130=4,ROUND(O130+X130+Y130+GK130,2)+GX130,0)</f>
        <v>0</v>
      </c>
      <c r="GR130">
        <v>1</v>
      </c>
      <c r="GS130">
        <v>1</v>
      </c>
      <c r="GT130">
        <v>0</v>
      </c>
      <c r="GU130" t="s">
        <v>3</v>
      </c>
      <c r="GV130">
        <f t="shared" si="147"/>
        <v>0</v>
      </c>
      <c r="GW130">
        <v>1</v>
      </c>
      <c r="GX130">
        <f t="shared" si="148"/>
        <v>0</v>
      </c>
      <c r="HA130">
        <v>0</v>
      </c>
      <c r="HB130">
        <v>0</v>
      </c>
      <c r="HC130">
        <f t="shared" si="149"/>
        <v>0</v>
      </c>
      <c r="IK130">
        <v>0</v>
      </c>
    </row>
    <row r="131" spans="1:245" x14ac:dyDescent="0.2">
      <c r="A131">
        <v>17</v>
      </c>
      <c r="B131">
        <v>1</v>
      </c>
      <c r="C131">
        <f>ROW(SmtRes!A75)</f>
        <v>75</v>
      </c>
      <c r="D131">
        <f>ROW(EtalonRes!A73)</f>
        <v>73</v>
      </c>
      <c r="E131" t="s">
        <v>169</v>
      </c>
      <c r="F131" t="s">
        <v>53</v>
      </c>
      <c r="G131" t="s">
        <v>54</v>
      </c>
      <c r="H131" t="s">
        <v>22</v>
      </c>
      <c r="I131">
        <f>ROUND((516*0.25*0.05)/100,9)</f>
        <v>6.4500000000000002E-2</v>
      </c>
      <c r="J131">
        <v>0</v>
      </c>
      <c r="O131">
        <f t="shared" si="119"/>
        <v>4893.21</v>
      </c>
      <c r="P131">
        <f t="shared" si="120"/>
        <v>4202.95</v>
      </c>
      <c r="Q131">
        <f t="shared" si="121"/>
        <v>490.34</v>
      </c>
      <c r="R131">
        <f t="shared" si="122"/>
        <v>207.88</v>
      </c>
      <c r="S131">
        <f t="shared" si="123"/>
        <v>199.92</v>
      </c>
      <c r="T131">
        <f t="shared" si="124"/>
        <v>0</v>
      </c>
      <c r="U131">
        <f t="shared" si="125"/>
        <v>1.06812</v>
      </c>
      <c r="V131">
        <f t="shared" si="126"/>
        <v>0</v>
      </c>
      <c r="W131">
        <f t="shared" si="127"/>
        <v>0</v>
      </c>
      <c r="X131">
        <f t="shared" si="128"/>
        <v>139.94</v>
      </c>
      <c r="Y131">
        <f t="shared" si="129"/>
        <v>19.989999999999998</v>
      </c>
      <c r="AA131">
        <v>42184655</v>
      </c>
      <c r="AB131">
        <f t="shared" si="130"/>
        <v>75863.820000000007</v>
      </c>
      <c r="AC131">
        <f>ROUND((ES131),6)</f>
        <v>65162.05</v>
      </c>
      <c r="AD131">
        <f>ROUND((((ET131)-(EU131))+AE131),6)</f>
        <v>7602.23</v>
      </c>
      <c r="AE131">
        <f t="shared" si="150"/>
        <v>3222.98</v>
      </c>
      <c r="AF131">
        <f t="shared" si="150"/>
        <v>3099.54</v>
      </c>
      <c r="AG131">
        <f t="shared" si="132"/>
        <v>0</v>
      </c>
      <c r="AH131">
        <f t="shared" si="151"/>
        <v>16.559999999999999</v>
      </c>
      <c r="AI131">
        <f t="shared" si="151"/>
        <v>0</v>
      </c>
      <c r="AJ131">
        <f t="shared" si="134"/>
        <v>0</v>
      </c>
      <c r="AK131">
        <v>75863.820000000007</v>
      </c>
      <c r="AL131">
        <v>65162.05</v>
      </c>
      <c r="AM131">
        <v>7602.23</v>
      </c>
      <c r="AN131">
        <v>3222.98</v>
      </c>
      <c r="AO131">
        <v>3099.54</v>
      </c>
      <c r="AP131">
        <v>0</v>
      </c>
      <c r="AQ131">
        <v>16.559999999999999</v>
      </c>
      <c r="AR131">
        <v>0</v>
      </c>
      <c r="AS131">
        <v>0</v>
      </c>
      <c r="AT131">
        <v>70</v>
      </c>
      <c r="AU131">
        <v>10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1</v>
      </c>
      <c r="BD131" t="s">
        <v>3</v>
      </c>
      <c r="BE131" t="s">
        <v>3</v>
      </c>
      <c r="BF131" t="s">
        <v>3</v>
      </c>
      <c r="BG131" t="s">
        <v>3</v>
      </c>
      <c r="BH131">
        <v>0</v>
      </c>
      <c r="BI131">
        <v>4</v>
      </c>
      <c r="BJ131" t="s">
        <v>55</v>
      </c>
      <c r="BM131">
        <v>0</v>
      </c>
      <c r="BN131">
        <v>0</v>
      </c>
      <c r="BO131" t="s">
        <v>3</v>
      </c>
      <c r="BP131">
        <v>0</v>
      </c>
      <c r="BQ131">
        <v>1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3</v>
      </c>
      <c r="BZ131">
        <v>70</v>
      </c>
      <c r="CA131">
        <v>10</v>
      </c>
      <c r="CE131">
        <v>0</v>
      </c>
      <c r="CF131">
        <v>0</v>
      </c>
      <c r="CG131">
        <v>0</v>
      </c>
      <c r="CM131">
        <v>0</v>
      </c>
      <c r="CN131" t="s">
        <v>3</v>
      </c>
      <c r="CO131">
        <v>0</v>
      </c>
      <c r="CP131">
        <f t="shared" si="135"/>
        <v>4893.21</v>
      </c>
      <c r="CQ131">
        <f t="shared" si="136"/>
        <v>65162.05</v>
      </c>
      <c r="CR131">
        <f>((((ET131)*BB131-(EU131)*BS131)+AE131*BS131)*AV131)</f>
        <v>7602.23</v>
      </c>
      <c r="CS131">
        <f t="shared" si="137"/>
        <v>3222.98</v>
      </c>
      <c r="CT131">
        <f t="shared" si="138"/>
        <v>3099.54</v>
      </c>
      <c r="CU131">
        <f t="shared" si="139"/>
        <v>0</v>
      </c>
      <c r="CV131">
        <f t="shared" si="140"/>
        <v>16.559999999999999</v>
      </c>
      <c r="CW131">
        <f t="shared" si="141"/>
        <v>0</v>
      </c>
      <c r="CX131">
        <f t="shared" si="142"/>
        <v>0</v>
      </c>
      <c r="CY131">
        <f t="shared" si="143"/>
        <v>139.94399999999999</v>
      </c>
      <c r="CZ131">
        <f t="shared" si="144"/>
        <v>19.991999999999997</v>
      </c>
      <c r="DC131" t="s">
        <v>3</v>
      </c>
      <c r="DD131" t="s">
        <v>3</v>
      </c>
      <c r="DE131" t="s">
        <v>3</v>
      </c>
      <c r="DF131" t="s">
        <v>3</v>
      </c>
      <c r="DG131" t="s">
        <v>3</v>
      </c>
      <c r="DH131" t="s">
        <v>3</v>
      </c>
      <c r="DI131" t="s">
        <v>3</v>
      </c>
      <c r="DJ131" t="s">
        <v>3</v>
      </c>
      <c r="DK131" t="s">
        <v>3</v>
      </c>
      <c r="DL131" t="s">
        <v>3</v>
      </c>
      <c r="DM131" t="s">
        <v>3</v>
      </c>
      <c r="DN131">
        <v>0</v>
      </c>
      <c r="DO131">
        <v>0</v>
      </c>
      <c r="DP131">
        <v>1</v>
      </c>
      <c r="DQ131">
        <v>1</v>
      </c>
      <c r="DU131">
        <v>1007</v>
      </c>
      <c r="DV131" t="s">
        <v>22</v>
      </c>
      <c r="DW131" t="s">
        <v>22</v>
      </c>
      <c r="DX131">
        <v>100</v>
      </c>
      <c r="EE131">
        <v>40658659</v>
      </c>
      <c r="EF131">
        <v>1</v>
      </c>
      <c r="EG131" t="s">
        <v>24</v>
      </c>
      <c r="EH131">
        <v>0</v>
      </c>
      <c r="EI131" t="s">
        <v>3</v>
      </c>
      <c r="EJ131">
        <v>4</v>
      </c>
      <c r="EK131">
        <v>0</v>
      </c>
      <c r="EL131" t="s">
        <v>25</v>
      </c>
      <c r="EM131" t="s">
        <v>26</v>
      </c>
      <c r="EO131" t="s">
        <v>3</v>
      </c>
      <c r="EQ131">
        <v>0</v>
      </c>
      <c r="ER131">
        <v>75863.820000000007</v>
      </c>
      <c r="ES131">
        <v>65162.05</v>
      </c>
      <c r="ET131">
        <v>7602.23</v>
      </c>
      <c r="EU131">
        <v>3222.98</v>
      </c>
      <c r="EV131">
        <v>3099.54</v>
      </c>
      <c r="EW131">
        <v>16.559999999999999</v>
      </c>
      <c r="EX131">
        <v>0</v>
      </c>
      <c r="EY131">
        <v>0</v>
      </c>
      <c r="FQ131">
        <v>0</v>
      </c>
      <c r="FR131">
        <f t="shared" si="145"/>
        <v>0</v>
      </c>
      <c r="FS131">
        <v>0</v>
      </c>
      <c r="FX131">
        <v>70</v>
      </c>
      <c r="FY131">
        <v>10</v>
      </c>
      <c r="GA131" t="s">
        <v>3</v>
      </c>
      <c r="GD131">
        <v>0</v>
      </c>
      <c r="GF131">
        <v>2135562757</v>
      </c>
      <c r="GG131">
        <v>2</v>
      </c>
      <c r="GH131">
        <v>1</v>
      </c>
      <c r="GI131">
        <v>-2</v>
      </c>
      <c r="GJ131">
        <v>0</v>
      </c>
      <c r="GK131">
        <f>ROUND(R131*(R12)/100,2)</f>
        <v>224.51</v>
      </c>
      <c r="GL131">
        <f t="shared" si="146"/>
        <v>0</v>
      </c>
      <c r="GM131">
        <f>ROUND(O131+X131+Y131+GK131,2)+GX131</f>
        <v>5277.65</v>
      </c>
      <c r="GN131">
        <f>IF(OR(BI131=0,BI131=1),ROUND(O131+X131+Y131+GK131,2),0)</f>
        <v>0</v>
      </c>
      <c r="GO131">
        <f>IF(BI131=2,ROUND(O131+X131+Y131+GK131,2),0)</f>
        <v>0</v>
      </c>
      <c r="GP131">
        <f>IF(BI131=4,ROUND(O131+X131+Y131+GK131,2)+GX131,0)</f>
        <v>5277.65</v>
      </c>
      <c r="GR131">
        <v>0</v>
      </c>
      <c r="GS131">
        <v>3</v>
      </c>
      <c r="GT131">
        <v>0</v>
      </c>
      <c r="GU131" t="s">
        <v>3</v>
      </c>
      <c r="GV131">
        <f t="shared" si="147"/>
        <v>0</v>
      </c>
      <c r="GW131">
        <v>1</v>
      </c>
      <c r="GX131">
        <f t="shared" si="148"/>
        <v>0</v>
      </c>
      <c r="HA131">
        <v>0</v>
      </c>
      <c r="HB131">
        <v>0</v>
      </c>
      <c r="HC131">
        <f t="shared" si="149"/>
        <v>0</v>
      </c>
      <c r="IK131">
        <v>0</v>
      </c>
    </row>
    <row r="132" spans="1:245" x14ac:dyDescent="0.2">
      <c r="A132">
        <v>17</v>
      </c>
      <c r="B132">
        <v>1</v>
      </c>
      <c r="C132">
        <f>ROW(SmtRes!A80)</f>
        <v>80</v>
      </c>
      <c r="D132">
        <f>ROW(EtalonRes!A78)</f>
        <v>78</v>
      </c>
      <c r="E132" t="s">
        <v>170</v>
      </c>
      <c r="F132" t="s">
        <v>171</v>
      </c>
      <c r="G132" t="s">
        <v>172</v>
      </c>
      <c r="H132" t="s">
        <v>143</v>
      </c>
      <c r="I132">
        <f>ROUND(516/100,9)</f>
        <v>5.16</v>
      </c>
      <c r="J132">
        <v>0</v>
      </c>
      <c r="O132">
        <f t="shared" si="119"/>
        <v>244060.26</v>
      </c>
      <c r="P132">
        <f t="shared" si="120"/>
        <v>166783.57999999999</v>
      </c>
      <c r="Q132">
        <f t="shared" si="121"/>
        <v>988.09</v>
      </c>
      <c r="R132">
        <f t="shared" si="122"/>
        <v>536.42999999999995</v>
      </c>
      <c r="S132">
        <f t="shared" si="123"/>
        <v>76288.59</v>
      </c>
      <c r="T132">
        <f t="shared" si="124"/>
        <v>0</v>
      </c>
      <c r="U132">
        <f t="shared" si="125"/>
        <v>376.47359999999998</v>
      </c>
      <c r="V132">
        <f t="shared" si="126"/>
        <v>0</v>
      </c>
      <c r="W132">
        <f t="shared" si="127"/>
        <v>0</v>
      </c>
      <c r="X132">
        <f t="shared" si="128"/>
        <v>53402.01</v>
      </c>
      <c r="Y132">
        <f t="shared" si="129"/>
        <v>7628.86</v>
      </c>
      <c r="AA132">
        <v>42184655</v>
      </c>
      <c r="AB132">
        <f t="shared" si="130"/>
        <v>47298.5</v>
      </c>
      <c r="AC132">
        <f>ROUND((ES132),6)</f>
        <v>32322.400000000001</v>
      </c>
      <c r="AD132">
        <f>ROUND((((ET132)-(EU132))+AE132),6)</f>
        <v>191.49</v>
      </c>
      <c r="AE132">
        <f t="shared" si="150"/>
        <v>103.96</v>
      </c>
      <c r="AF132">
        <f t="shared" si="150"/>
        <v>14784.61</v>
      </c>
      <c r="AG132">
        <f t="shared" si="132"/>
        <v>0</v>
      </c>
      <c r="AH132">
        <f t="shared" si="151"/>
        <v>72.959999999999994</v>
      </c>
      <c r="AI132">
        <f t="shared" si="151"/>
        <v>0</v>
      </c>
      <c r="AJ132">
        <f t="shared" si="134"/>
        <v>0</v>
      </c>
      <c r="AK132">
        <v>47298.5</v>
      </c>
      <c r="AL132">
        <v>32322.400000000001</v>
      </c>
      <c r="AM132">
        <v>191.49</v>
      </c>
      <c r="AN132">
        <v>103.96</v>
      </c>
      <c r="AO132">
        <v>14784.61</v>
      </c>
      <c r="AP132">
        <v>0</v>
      </c>
      <c r="AQ132">
        <v>72.959999999999994</v>
      </c>
      <c r="AR132">
        <v>0</v>
      </c>
      <c r="AS132">
        <v>0</v>
      </c>
      <c r="AT132">
        <v>70</v>
      </c>
      <c r="AU132">
        <v>10</v>
      </c>
      <c r="AV132">
        <v>1</v>
      </c>
      <c r="AW132">
        <v>1</v>
      </c>
      <c r="AZ132">
        <v>1</v>
      </c>
      <c r="BA132">
        <v>1</v>
      </c>
      <c r="BB132">
        <v>1</v>
      </c>
      <c r="BC132">
        <v>1</v>
      </c>
      <c r="BD132" t="s">
        <v>3</v>
      </c>
      <c r="BE132" t="s">
        <v>3</v>
      </c>
      <c r="BF132" t="s">
        <v>3</v>
      </c>
      <c r="BG132" t="s">
        <v>3</v>
      </c>
      <c r="BH132">
        <v>0</v>
      </c>
      <c r="BI132">
        <v>4</v>
      </c>
      <c r="BJ132" t="s">
        <v>173</v>
      </c>
      <c r="BM132">
        <v>0</v>
      </c>
      <c r="BN132">
        <v>0</v>
      </c>
      <c r="BO132" t="s">
        <v>3</v>
      </c>
      <c r="BP132">
        <v>0</v>
      </c>
      <c r="BQ132">
        <v>1</v>
      </c>
      <c r="BR132">
        <v>0</v>
      </c>
      <c r="BS132">
        <v>1</v>
      </c>
      <c r="BT132">
        <v>1</v>
      </c>
      <c r="BU132">
        <v>1</v>
      </c>
      <c r="BV132">
        <v>1</v>
      </c>
      <c r="BW132">
        <v>1</v>
      </c>
      <c r="BX132">
        <v>1</v>
      </c>
      <c r="BY132" t="s">
        <v>3</v>
      </c>
      <c r="BZ132">
        <v>70</v>
      </c>
      <c r="CA132">
        <v>10</v>
      </c>
      <c r="CE132">
        <v>0</v>
      </c>
      <c r="CF132">
        <v>0</v>
      </c>
      <c r="CG132">
        <v>0</v>
      </c>
      <c r="CM132">
        <v>0</v>
      </c>
      <c r="CN132" t="s">
        <v>3</v>
      </c>
      <c r="CO132">
        <v>0</v>
      </c>
      <c r="CP132">
        <f t="shared" si="135"/>
        <v>244060.25999999998</v>
      </c>
      <c r="CQ132">
        <f t="shared" si="136"/>
        <v>32322.400000000001</v>
      </c>
      <c r="CR132">
        <f>((((ET132)*BB132-(EU132)*BS132)+AE132*BS132)*AV132)</f>
        <v>191.49</v>
      </c>
      <c r="CS132">
        <f t="shared" si="137"/>
        <v>103.96</v>
      </c>
      <c r="CT132">
        <f t="shared" si="138"/>
        <v>14784.61</v>
      </c>
      <c r="CU132">
        <f t="shared" si="139"/>
        <v>0</v>
      </c>
      <c r="CV132">
        <f t="shared" si="140"/>
        <v>72.959999999999994</v>
      </c>
      <c r="CW132">
        <f t="shared" si="141"/>
        <v>0</v>
      </c>
      <c r="CX132">
        <f t="shared" si="142"/>
        <v>0</v>
      </c>
      <c r="CY132">
        <f t="shared" si="143"/>
        <v>53402.012999999999</v>
      </c>
      <c r="CZ132">
        <f t="shared" si="144"/>
        <v>7628.8589999999995</v>
      </c>
      <c r="DC132" t="s">
        <v>3</v>
      </c>
      <c r="DD132" t="s">
        <v>3</v>
      </c>
      <c r="DE132" t="s">
        <v>3</v>
      </c>
      <c r="DF132" t="s">
        <v>3</v>
      </c>
      <c r="DG132" t="s">
        <v>3</v>
      </c>
      <c r="DH132" t="s">
        <v>3</v>
      </c>
      <c r="DI132" t="s">
        <v>3</v>
      </c>
      <c r="DJ132" t="s">
        <v>3</v>
      </c>
      <c r="DK132" t="s">
        <v>3</v>
      </c>
      <c r="DL132" t="s">
        <v>3</v>
      </c>
      <c r="DM132" t="s">
        <v>3</v>
      </c>
      <c r="DN132">
        <v>0</v>
      </c>
      <c r="DO132">
        <v>0</v>
      </c>
      <c r="DP132">
        <v>1</v>
      </c>
      <c r="DQ132">
        <v>1</v>
      </c>
      <c r="DU132">
        <v>1003</v>
      </c>
      <c r="DV132" t="s">
        <v>143</v>
      </c>
      <c r="DW132" t="s">
        <v>143</v>
      </c>
      <c r="DX132">
        <v>100</v>
      </c>
      <c r="EE132">
        <v>40658659</v>
      </c>
      <c r="EF132">
        <v>1</v>
      </c>
      <c r="EG132" t="s">
        <v>24</v>
      </c>
      <c r="EH132">
        <v>0</v>
      </c>
      <c r="EI132" t="s">
        <v>3</v>
      </c>
      <c r="EJ132">
        <v>4</v>
      </c>
      <c r="EK132">
        <v>0</v>
      </c>
      <c r="EL132" t="s">
        <v>25</v>
      </c>
      <c r="EM132" t="s">
        <v>26</v>
      </c>
      <c r="EO132" t="s">
        <v>3</v>
      </c>
      <c r="EQ132">
        <v>131072</v>
      </c>
      <c r="ER132">
        <v>47298.5</v>
      </c>
      <c r="ES132">
        <v>32322.400000000001</v>
      </c>
      <c r="ET132">
        <v>191.49</v>
      </c>
      <c r="EU132">
        <v>103.96</v>
      </c>
      <c r="EV132">
        <v>14784.61</v>
      </c>
      <c r="EW132">
        <v>72.959999999999994</v>
      </c>
      <c r="EX132">
        <v>0</v>
      </c>
      <c r="EY132">
        <v>0</v>
      </c>
      <c r="FQ132">
        <v>0</v>
      </c>
      <c r="FR132">
        <f t="shared" si="145"/>
        <v>0</v>
      </c>
      <c r="FS132">
        <v>0</v>
      </c>
      <c r="FX132">
        <v>70</v>
      </c>
      <c r="FY132">
        <v>10</v>
      </c>
      <c r="GA132" t="s">
        <v>3</v>
      </c>
      <c r="GD132">
        <v>0</v>
      </c>
      <c r="GF132">
        <v>-881965415</v>
      </c>
      <c r="GG132">
        <v>2</v>
      </c>
      <c r="GH132">
        <v>1</v>
      </c>
      <c r="GI132">
        <v>-2</v>
      </c>
      <c r="GJ132">
        <v>0</v>
      </c>
      <c r="GK132">
        <f>ROUND(R132*(R12)/100,2)</f>
        <v>579.34</v>
      </c>
      <c r="GL132">
        <f t="shared" si="146"/>
        <v>0</v>
      </c>
      <c r="GM132">
        <f>ROUND(O132+X132+Y132+GK132,2)+GX132</f>
        <v>305670.46999999997</v>
      </c>
      <c r="GN132">
        <f>IF(OR(BI132=0,BI132=1),ROUND(O132+X132+Y132+GK132,2),0)</f>
        <v>0</v>
      </c>
      <c r="GO132">
        <f>IF(BI132=2,ROUND(O132+X132+Y132+GK132,2),0)</f>
        <v>0</v>
      </c>
      <c r="GP132">
        <f>IF(BI132=4,ROUND(O132+X132+Y132+GK132,2)+GX132,0)</f>
        <v>305670.46999999997</v>
      </c>
      <c r="GR132">
        <v>0</v>
      </c>
      <c r="GS132">
        <v>3</v>
      </c>
      <c r="GT132">
        <v>0</v>
      </c>
      <c r="GU132" t="s">
        <v>3</v>
      </c>
      <c r="GV132">
        <f t="shared" si="147"/>
        <v>0</v>
      </c>
      <c r="GW132">
        <v>1</v>
      </c>
      <c r="GX132">
        <f t="shared" si="148"/>
        <v>0</v>
      </c>
      <c r="HA132">
        <v>0</v>
      </c>
      <c r="HB132">
        <v>0</v>
      </c>
      <c r="HC132">
        <f t="shared" si="149"/>
        <v>0</v>
      </c>
      <c r="IK132">
        <v>0</v>
      </c>
    </row>
    <row r="134" spans="1:245" x14ac:dyDescent="0.2">
      <c r="A134" s="2">
        <v>51</v>
      </c>
      <c r="B134" s="2">
        <f>B120</f>
        <v>1</v>
      </c>
      <c r="C134" s="2">
        <f>A120</f>
        <v>4</v>
      </c>
      <c r="D134" s="2">
        <f>ROW(A120)</f>
        <v>120</v>
      </c>
      <c r="E134" s="2"/>
      <c r="F134" s="2" t="str">
        <f>IF(F120&lt;&gt;"",F120,"")</f>
        <v>Новый раздел</v>
      </c>
      <c r="G134" s="2" t="str">
        <f>IF(G120&lt;&gt;"",G120,"")</f>
        <v xml:space="preserve">Раздел 11. Замена\устройство бортового камня садового(для оснований площадок детских, спортивных, воркаут) </v>
      </c>
      <c r="H134" s="2">
        <v>0</v>
      </c>
      <c r="I134" s="2"/>
      <c r="J134" s="2"/>
      <c r="K134" s="2"/>
      <c r="L134" s="2"/>
      <c r="M134" s="2"/>
      <c r="N134" s="2"/>
      <c r="O134" s="2">
        <f t="shared" ref="O134:T134" si="152">ROUND(AB134,2)</f>
        <v>486836.7</v>
      </c>
      <c r="P134" s="2">
        <f t="shared" si="152"/>
        <v>184984.73</v>
      </c>
      <c r="Q134" s="2">
        <f t="shared" si="152"/>
        <v>144364.26999999999</v>
      </c>
      <c r="R134" s="2">
        <f t="shared" si="152"/>
        <v>76909.119999999995</v>
      </c>
      <c r="S134" s="2">
        <f t="shared" si="152"/>
        <v>157487.70000000001</v>
      </c>
      <c r="T134" s="2">
        <f t="shared" si="152"/>
        <v>0</v>
      </c>
      <c r="U134" s="2">
        <f>AH134</f>
        <v>781.39799519999997</v>
      </c>
      <c r="V134" s="2">
        <f>AI134</f>
        <v>0</v>
      </c>
      <c r="W134" s="2">
        <f>ROUND(AJ134,2)</f>
        <v>0</v>
      </c>
      <c r="X134" s="2">
        <f>ROUND(AK134,2)</f>
        <v>110241.38</v>
      </c>
      <c r="Y134" s="2">
        <f>ROUND(AL134,2)</f>
        <v>15748.77</v>
      </c>
      <c r="Z134" s="2"/>
      <c r="AA134" s="2"/>
      <c r="AB134" s="2">
        <f>ROUND(SUMIF(AA124:AA132,"=42184655",O124:O132),2)</f>
        <v>486836.7</v>
      </c>
      <c r="AC134" s="2">
        <f>ROUND(SUMIF(AA124:AA132,"=42184655",P124:P132),2)</f>
        <v>184984.73</v>
      </c>
      <c r="AD134" s="2">
        <f>ROUND(SUMIF(AA124:AA132,"=42184655",Q124:Q132),2)</f>
        <v>144364.26999999999</v>
      </c>
      <c r="AE134" s="2">
        <f>ROUND(SUMIF(AA124:AA132,"=42184655",R124:R132),2)</f>
        <v>76909.119999999995</v>
      </c>
      <c r="AF134" s="2">
        <f>ROUND(SUMIF(AA124:AA132,"=42184655",S124:S132),2)</f>
        <v>157487.70000000001</v>
      </c>
      <c r="AG134" s="2">
        <f>ROUND(SUMIF(AA124:AA132,"=42184655",T124:T132),2)</f>
        <v>0</v>
      </c>
      <c r="AH134" s="2">
        <f>SUMIF(AA124:AA132,"=42184655",U124:U132)</f>
        <v>781.39799519999997</v>
      </c>
      <c r="AI134" s="2">
        <f>SUMIF(AA124:AA132,"=42184655",V124:V132)</f>
        <v>0</v>
      </c>
      <c r="AJ134" s="2">
        <f>ROUND(SUMIF(AA124:AA132,"=42184655",W124:W132),2)</f>
        <v>0</v>
      </c>
      <c r="AK134" s="2">
        <f>ROUND(SUMIF(AA124:AA132,"=42184655",X124:X132),2)</f>
        <v>110241.38</v>
      </c>
      <c r="AL134" s="2">
        <f>ROUND(SUMIF(AA124:AA132,"=42184655",Y124:Y132),2)</f>
        <v>15748.77</v>
      </c>
      <c r="AM134" s="2"/>
      <c r="AN134" s="2"/>
      <c r="AO134" s="2">
        <f t="shared" ref="AO134:BC134" si="153">ROUND(BX134,2)</f>
        <v>0</v>
      </c>
      <c r="AP134" s="2">
        <f t="shared" si="153"/>
        <v>0</v>
      </c>
      <c r="AQ134" s="2">
        <f t="shared" si="153"/>
        <v>0</v>
      </c>
      <c r="AR134" s="2">
        <f t="shared" si="153"/>
        <v>616003.30000000005</v>
      </c>
      <c r="AS134" s="2">
        <f t="shared" si="153"/>
        <v>13998.2</v>
      </c>
      <c r="AT134" s="2">
        <f t="shared" si="153"/>
        <v>0</v>
      </c>
      <c r="AU134" s="2">
        <f t="shared" si="153"/>
        <v>602005.1</v>
      </c>
      <c r="AV134" s="2">
        <f t="shared" si="153"/>
        <v>184984.73</v>
      </c>
      <c r="AW134" s="2">
        <f t="shared" si="153"/>
        <v>184984.73</v>
      </c>
      <c r="AX134" s="2">
        <f t="shared" si="153"/>
        <v>0</v>
      </c>
      <c r="AY134" s="2">
        <f t="shared" si="153"/>
        <v>184984.73</v>
      </c>
      <c r="AZ134" s="2">
        <f t="shared" si="153"/>
        <v>0</v>
      </c>
      <c r="BA134" s="2">
        <f t="shared" si="153"/>
        <v>0</v>
      </c>
      <c r="BB134" s="2">
        <f t="shared" si="153"/>
        <v>0</v>
      </c>
      <c r="BC134" s="2">
        <f t="shared" si="153"/>
        <v>0</v>
      </c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>
        <f>ROUND(SUMIF(AA124:AA132,"=42184655",FQ124:FQ132),2)</f>
        <v>0</v>
      </c>
      <c r="BY134" s="2">
        <f>ROUND(SUMIF(AA124:AA132,"=42184655",FR124:FR132),2)</f>
        <v>0</v>
      </c>
      <c r="BZ134" s="2">
        <f>ROUND(SUMIF(AA124:AA132,"=42184655",GL124:GL132),2)</f>
        <v>0</v>
      </c>
      <c r="CA134" s="2">
        <f>ROUND(SUMIF(AA124:AA132,"=42184655",GM124:GM132),2)</f>
        <v>616003.30000000005</v>
      </c>
      <c r="CB134" s="2">
        <f>ROUND(SUMIF(AA124:AA132,"=42184655",GN124:GN132),2)</f>
        <v>13998.2</v>
      </c>
      <c r="CC134" s="2">
        <f>ROUND(SUMIF(AA124:AA132,"=42184655",GO124:GO132),2)</f>
        <v>0</v>
      </c>
      <c r="CD134" s="2">
        <f>ROUND(SUMIF(AA124:AA132,"=42184655",GP124:GP132),2)</f>
        <v>602005.1</v>
      </c>
      <c r="CE134" s="2">
        <f>AC134-BX134</f>
        <v>184984.73</v>
      </c>
      <c r="CF134" s="2">
        <f>AC134-BY134</f>
        <v>184984.73</v>
      </c>
      <c r="CG134" s="2">
        <f>BX134-BZ134</f>
        <v>0</v>
      </c>
      <c r="CH134" s="2">
        <f>AC134-BX134-BY134+BZ134</f>
        <v>184984.73</v>
      </c>
      <c r="CI134" s="2">
        <f>BY134-BZ134</f>
        <v>0</v>
      </c>
      <c r="CJ134" s="2">
        <f>ROUND(SUMIF(AA124:AA132,"=42184655",GX124:GX132),2)</f>
        <v>0</v>
      </c>
      <c r="CK134" s="2">
        <f>ROUND(SUMIF(AA124:AA132,"=42184655",GY124:GY132),2)</f>
        <v>0</v>
      </c>
      <c r="CL134" s="2">
        <f>ROUND(SUMIF(AA124:AA132,"=42184655",GZ124:GZ132),2)</f>
        <v>0</v>
      </c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>
        <v>0</v>
      </c>
    </row>
    <row r="136" spans="1:245" x14ac:dyDescent="0.2">
      <c r="A136" s="4">
        <v>50</v>
      </c>
      <c r="B136" s="4">
        <v>0</v>
      </c>
      <c r="C136" s="4">
        <v>0</v>
      </c>
      <c r="D136" s="4">
        <v>1</v>
      </c>
      <c r="E136" s="4">
        <v>201</v>
      </c>
      <c r="F136" s="4">
        <f>ROUND(Source!O134,O136)</f>
        <v>486836.7</v>
      </c>
      <c r="G136" s="4" t="s">
        <v>71</v>
      </c>
      <c r="H136" s="4" t="s">
        <v>72</v>
      </c>
      <c r="I136" s="4"/>
      <c r="J136" s="4"/>
      <c r="K136" s="4">
        <v>201</v>
      </c>
      <c r="L136" s="4">
        <v>1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45" x14ac:dyDescent="0.2">
      <c r="A137" s="4">
        <v>50</v>
      </c>
      <c r="B137" s="4">
        <v>0</v>
      </c>
      <c r="C137" s="4">
        <v>0</v>
      </c>
      <c r="D137" s="4">
        <v>1</v>
      </c>
      <c r="E137" s="4">
        <v>202</v>
      </c>
      <c r="F137" s="4">
        <f>ROUND(Source!P134,O137)</f>
        <v>184984.73</v>
      </c>
      <c r="G137" s="4" t="s">
        <v>73</v>
      </c>
      <c r="H137" s="4" t="s">
        <v>74</v>
      </c>
      <c r="I137" s="4"/>
      <c r="J137" s="4"/>
      <c r="K137" s="4">
        <v>202</v>
      </c>
      <c r="L137" s="4">
        <v>2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45" x14ac:dyDescent="0.2">
      <c r="A138" s="4">
        <v>50</v>
      </c>
      <c r="B138" s="4">
        <v>0</v>
      </c>
      <c r="C138" s="4">
        <v>0</v>
      </c>
      <c r="D138" s="4">
        <v>1</v>
      </c>
      <c r="E138" s="4">
        <v>222</v>
      </c>
      <c r="F138" s="4">
        <f>ROUND(Source!AO134,O138)</f>
        <v>0</v>
      </c>
      <c r="G138" s="4" t="s">
        <v>75</v>
      </c>
      <c r="H138" s="4" t="s">
        <v>76</v>
      </c>
      <c r="I138" s="4"/>
      <c r="J138" s="4"/>
      <c r="K138" s="4">
        <v>222</v>
      </c>
      <c r="L138" s="4">
        <v>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45" x14ac:dyDescent="0.2">
      <c r="A139" s="4">
        <v>50</v>
      </c>
      <c r="B139" s="4">
        <v>0</v>
      </c>
      <c r="C139" s="4">
        <v>0</v>
      </c>
      <c r="D139" s="4">
        <v>1</v>
      </c>
      <c r="E139" s="4">
        <v>225</v>
      </c>
      <c r="F139" s="4">
        <f>ROUND(Source!AV134,O139)</f>
        <v>184984.73</v>
      </c>
      <c r="G139" s="4" t="s">
        <v>77</v>
      </c>
      <c r="H139" s="4" t="s">
        <v>78</v>
      </c>
      <c r="I139" s="4"/>
      <c r="J139" s="4"/>
      <c r="K139" s="4">
        <v>225</v>
      </c>
      <c r="L139" s="4">
        <v>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45" x14ac:dyDescent="0.2">
      <c r="A140" s="4">
        <v>50</v>
      </c>
      <c r="B140" s="4">
        <v>0</v>
      </c>
      <c r="C140" s="4">
        <v>0</v>
      </c>
      <c r="D140" s="4">
        <v>1</v>
      </c>
      <c r="E140" s="4">
        <v>226</v>
      </c>
      <c r="F140" s="4">
        <f>ROUND(Source!AW134,O140)</f>
        <v>184984.73</v>
      </c>
      <c r="G140" s="4" t="s">
        <v>79</v>
      </c>
      <c r="H140" s="4" t="s">
        <v>80</v>
      </c>
      <c r="I140" s="4"/>
      <c r="J140" s="4"/>
      <c r="K140" s="4">
        <v>226</v>
      </c>
      <c r="L140" s="4">
        <v>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45" x14ac:dyDescent="0.2">
      <c r="A141" s="4">
        <v>50</v>
      </c>
      <c r="B141" s="4">
        <v>0</v>
      </c>
      <c r="C141" s="4">
        <v>0</v>
      </c>
      <c r="D141" s="4">
        <v>1</v>
      </c>
      <c r="E141" s="4">
        <v>227</v>
      </c>
      <c r="F141" s="4">
        <f>ROUND(Source!AX134,O141)</f>
        <v>0</v>
      </c>
      <c r="G141" s="4" t="s">
        <v>81</v>
      </c>
      <c r="H141" s="4" t="s">
        <v>82</v>
      </c>
      <c r="I141" s="4"/>
      <c r="J141" s="4"/>
      <c r="K141" s="4">
        <v>227</v>
      </c>
      <c r="L141" s="4">
        <v>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45" x14ac:dyDescent="0.2">
      <c r="A142" s="4">
        <v>50</v>
      </c>
      <c r="B142" s="4">
        <v>0</v>
      </c>
      <c r="C142" s="4">
        <v>0</v>
      </c>
      <c r="D142" s="4">
        <v>1</v>
      </c>
      <c r="E142" s="4">
        <v>228</v>
      </c>
      <c r="F142" s="4">
        <f>ROUND(Source!AY134,O142)</f>
        <v>184984.73</v>
      </c>
      <c r="G142" s="4" t="s">
        <v>83</v>
      </c>
      <c r="H142" s="4" t="s">
        <v>84</v>
      </c>
      <c r="I142" s="4"/>
      <c r="J142" s="4"/>
      <c r="K142" s="4">
        <v>228</v>
      </c>
      <c r="L142" s="4">
        <v>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45" x14ac:dyDescent="0.2">
      <c r="A143" s="4">
        <v>50</v>
      </c>
      <c r="B143" s="4">
        <v>0</v>
      </c>
      <c r="C143" s="4">
        <v>0</v>
      </c>
      <c r="D143" s="4">
        <v>1</v>
      </c>
      <c r="E143" s="4">
        <v>216</v>
      </c>
      <c r="F143" s="4">
        <f>ROUND(Source!AP134,O143)</f>
        <v>0</v>
      </c>
      <c r="G143" s="4" t="s">
        <v>85</v>
      </c>
      <c r="H143" s="4" t="s">
        <v>86</v>
      </c>
      <c r="I143" s="4"/>
      <c r="J143" s="4"/>
      <c r="K143" s="4">
        <v>216</v>
      </c>
      <c r="L143" s="4">
        <v>8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45" x14ac:dyDescent="0.2">
      <c r="A144" s="4">
        <v>50</v>
      </c>
      <c r="B144" s="4">
        <v>0</v>
      </c>
      <c r="C144" s="4">
        <v>0</v>
      </c>
      <c r="D144" s="4">
        <v>1</v>
      </c>
      <c r="E144" s="4">
        <v>223</v>
      </c>
      <c r="F144" s="4">
        <f>ROUND(Source!AQ134,O144)</f>
        <v>0</v>
      </c>
      <c r="G144" s="4" t="s">
        <v>87</v>
      </c>
      <c r="H144" s="4" t="s">
        <v>88</v>
      </c>
      <c r="I144" s="4"/>
      <c r="J144" s="4"/>
      <c r="K144" s="4">
        <v>223</v>
      </c>
      <c r="L144" s="4">
        <v>9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5" spans="1:23" x14ac:dyDescent="0.2">
      <c r="A145" s="4">
        <v>50</v>
      </c>
      <c r="B145" s="4">
        <v>0</v>
      </c>
      <c r="C145" s="4">
        <v>0</v>
      </c>
      <c r="D145" s="4">
        <v>1</v>
      </c>
      <c r="E145" s="4">
        <v>229</v>
      </c>
      <c r="F145" s="4">
        <f>ROUND(Source!AZ134,O145)</f>
        <v>0</v>
      </c>
      <c r="G145" s="4" t="s">
        <v>89</v>
      </c>
      <c r="H145" s="4" t="s">
        <v>90</v>
      </c>
      <c r="I145" s="4"/>
      <c r="J145" s="4"/>
      <c r="K145" s="4">
        <v>229</v>
      </c>
      <c r="L145" s="4">
        <v>10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203</v>
      </c>
      <c r="F146" s="4">
        <f>ROUND(Source!Q134,O146)</f>
        <v>144364.26999999999</v>
      </c>
      <c r="G146" s="4" t="s">
        <v>91</v>
      </c>
      <c r="H146" s="4" t="s">
        <v>92</v>
      </c>
      <c r="I146" s="4"/>
      <c r="J146" s="4"/>
      <c r="K146" s="4">
        <v>203</v>
      </c>
      <c r="L146" s="4">
        <v>11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231</v>
      </c>
      <c r="F147" s="4">
        <f>ROUND(Source!BB134,O147)</f>
        <v>0</v>
      </c>
      <c r="G147" s="4" t="s">
        <v>93</v>
      </c>
      <c r="H147" s="4" t="s">
        <v>94</v>
      </c>
      <c r="I147" s="4"/>
      <c r="J147" s="4"/>
      <c r="K147" s="4">
        <v>231</v>
      </c>
      <c r="L147" s="4">
        <v>12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204</v>
      </c>
      <c r="F148" s="4">
        <f>ROUND(Source!R134,O148)</f>
        <v>76909.119999999995</v>
      </c>
      <c r="G148" s="4" t="s">
        <v>95</v>
      </c>
      <c r="H148" s="4" t="s">
        <v>96</v>
      </c>
      <c r="I148" s="4"/>
      <c r="J148" s="4"/>
      <c r="K148" s="4">
        <v>204</v>
      </c>
      <c r="L148" s="4">
        <v>13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205</v>
      </c>
      <c r="F149" s="4">
        <f>ROUND(Source!S134,O149)</f>
        <v>157487.70000000001</v>
      </c>
      <c r="G149" s="4" t="s">
        <v>97</v>
      </c>
      <c r="H149" s="4" t="s">
        <v>98</v>
      </c>
      <c r="I149" s="4"/>
      <c r="J149" s="4"/>
      <c r="K149" s="4">
        <v>205</v>
      </c>
      <c r="L149" s="4">
        <v>14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0</v>
      </c>
      <c r="C150" s="4">
        <v>0</v>
      </c>
      <c r="D150" s="4">
        <v>1</v>
      </c>
      <c r="E150" s="4">
        <v>232</v>
      </c>
      <c r="F150" s="4">
        <f>ROUND(Source!BC134,O150)</f>
        <v>0</v>
      </c>
      <c r="G150" s="4" t="s">
        <v>99</v>
      </c>
      <c r="H150" s="4" t="s">
        <v>100</v>
      </c>
      <c r="I150" s="4"/>
      <c r="J150" s="4"/>
      <c r="K150" s="4">
        <v>232</v>
      </c>
      <c r="L150" s="4">
        <v>15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214</v>
      </c>
      <c r="F151" s="4">
        <f>ROUND(Source!AS134,O151)</f>
        <v>13998.2</v>
      </c>
      <c r="G151" s="4" t="s">
        <v>101</v>
      </c>
      <c r="H151" s="4" t="s">
        <v>102</v>
      </c>
      <c r="I151" s="4"/>
      <c r="J151" s="4"/>
      <c r="K151" s="4">
        <v>214</v>
      </c>
      <c r="L151" s="4">
        <v>16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215</v>
      </c>
      <c r="F152" s="4">
        <f>ROUND(Source!AT134,O152)</f>
        <v>0</v>
      </c>
      <c r="G152" s="4" t="s">
        <v>103</v>
      </c>
      <c r="H152" s="4" t="s">
        <v>104</v>
      </c>
      <c r="I152" s="4"/>
      <c r="J152" s="4"/>
      <c r="K152" s="4">
        <v>215</v>
      </c>
      <c r="L152" s="4">
        <v>17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217</v>
      </c>
      <c r="F153" s="4">
        <f>ROUND(Source!AU134,O153)</f>
        <v>602005.1</v>
      </c>
      <c r="G153" s="4" t="s">
        <v>105</v>
      </c>
      <c r="H153" s="4" t="s">
        <v>106</v>
      </c>
      <c r="I153" s="4"/>
      <c r="J153" s="4"/>
      <c r="K153" s="4">
        <v>217</v>
      </c>
      <c r="L153" s="4">
        <v>18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230</v>
      </c>
      <c r="F154" s="4">
        <f>ROUND(Source!BA134,O154)</f>
        <v>0</v>
      </c>
      <c r="G154" s="4" t="s">
        <v>107</v>
      </c>
      <c r="H154" s="4" t="s">
        <v>108</v>
      </c>
      <c r="I154" s="4"/>
      <c r="J154" s="4"/>
      <c r="K154" s="4">
        <v>230</v>
      </c>
      <c r="L154" s="4">
        <v>19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206</v>
      </c>
      <c r="F155" s="4">
        <f>ROUND(Source!T134,O155)</f>
        <v>0</v>
      </c>
      <c r="G155" s="4" t="s">
        <v>109</v>
      </c>
      <c r="H155" s="4" t="s">
        <v>110</v>
      </c>
      <c r="I155" s="4"/>
      <c r="J155" s="4"/>
      <c r="K155" s="4">
        <v>206</v>
      </c>
      <c r="L155" s="4">
        <v>20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207</v>
      </c>
      <c r="F156" s="4">
        <f>Source!U134</f>
        <v>781.39799519999997</v>
      </c>
      <c r="G156" s="4" t="s">
        <v>111</v>
      </c>
      <c r="H156" s="4" t="s">
        <v>112</v>
      </c>
      <c r="I156" s="4"/>
      <c r="J156" s="4"/>
      <c r="K156" s="4">
        <v>207</v>
      </c>
      <c r="L156" s="4">
        <v>21</v>
      </c>
      <c r="M156" s="4">
        <v>3</v>
      </c>
      <c r="N156" s="4" t="s">
        <v>3</v>
      </c>
      <c r="O156" s="4">
        <v>-1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208</v>
      </c>
      <c r="F157" s="4">
        <f>Source!V134</f>
        <v>0</v>
      </c>
      <c r="G157" s="4" t="s">
        <v>113</v>
      </c>
      <c r="H157" s="4" t="s">
        <v>114</v>
      </c>
      <c r="I157" s="4"/>
      <c r="J157" s="4"/>
      <c r="K157" s="4">
        <v>208</v>
      </c>
      <c r="L157" s="4">
        <v>22</v>
      </c>
      <c r="M157" s="4">
        <v>3</v>
      </c>
      <c r="N157" s="4" t="s">
        <v>3</v>
      </c>
      <c r="O157" s="4">
        <v>-1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209</v>
      </c>
      <c r="F158" s="4">
        <f>ROUND(Source!W134,O158)</f>
        <v>0</v>
      </c>
      <c r="G158" s="4" t="s">
        <v>115</v>
      </c>
      <c r="H158" s="4" t="s">
        <v>116</v>
      </c>
      <c r="I158" s="4"/>
      <c r="J158" s="4"/>
      <c r="K158" s="4">
        <v>209</v>
      </c>
      <c r="L158" s="4">
        <v>23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210</v>
      </c>
      <c r="F159" s="4">
        <f>ROUND(Source!X134,O159)</f>
        <v>110241.38</v>
      </c>
      <c r="G159" s="4" t="s">
        <v>117</v>
      </c>
      <c r="H159" s="4" t="s">
        <v>118</v>
      </c>
      <c r="I159" s="4"/>
      <c r="J159" s="4"/>
      <c r="K159" s="4">
        <v>210</v>
      </c>
      <c r="L159" s="4">
        <v>24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x14ac:dyDescent="0.2">
      <c r="A160" s="4">
        <v>50</v>
      </c>
      <c r="B160" s="4">
        <v>0</v>
      </c>
      <c r="C160" s="4">
        <v>0</v>
      </c>
      <c r="D160" s="4">
        <v>1</v>
      </c>
      <c r="E160" s="4">
        <v>211</v>
      </c>
      <c r="F160" s="4">
        <f>ROUND(Source!Y134,O160)</f>
        <v>15748.77</v>
      </c>
      <c r="G160" s="4" t="s">
        <v>119</v>
      </c>
      <c r="H160" s="4" t="s">
        <v>120</v>
      </c>
      <c r="I160" s="4"/>
      <c r="J160" s="4"/>
      <c r="K160" s="4">
        <v>211</v>
      </c>
      <c r="L160" s="4">
        <v>25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45" x14ac:dyDescent="0.2">
      <c r="A161" s="4">
        <v>50</v>
      </c>
      <c r="B161" s="4">
        <v>0</v>
      </c>
      <c r="C161" s="4">
        <v>0</v>
      </c>
      <c r="D161" s="4">
        <v>1</v>
      </c>
      <c r="E161" s="4">
        <v>224</v>
      </c>
      <c r="F161" s="4">
        <f>ROUND(Source!AR134,O161)</f>
        <v>616003.30000000005</v>
      </c>
      <c r="G161" s="4" t="s">
        <v>121</v>
      </c>
      <c r="H161" s="4" t="s">
        <v>122</v>
      </c>
      <c r="I161" s="4"/>
      <c r="J161" s="4"/>
      <c r="K161" s="4">
        <v>224</v>
      </c>
      <c r="L161" s="4">
        <v>26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45" x14ac:dyDescent="0.2">
      <c r="A162" s="4">
        <v>50</v>
      </c>
      <c r="B162" s="4">
        <v>1</v>
      </c>
      <c r="C162" s="4">
        <v>0</v>
      </c>
      <c r="D162" s="4">
        <v>2</v>
      </c>
      <c r="E162" s="4">
        <v>0</v>
      </c>
      <c r="F162" s="4">
        <f>ROUND(F161,O162)</f>
        <v>616003.30000000005</v>
      </c>
      <c r="G162" s="4" t="s">
        <v>19</v>
      </c>
      <c r="H162" s="4" t="s">
        <v>123</v>
      </c>
      <c r="I162" s="4"/>
      <c r="J162" s="4"/>
      <c r="K162" s="4">
        <v>212</v>
      </c>
      <c r="L162" s="4">
        <v>27</v>
      </c>
      <c r="M162" s="4">
        <v>0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45" x14ac:dyDescent="0.2">
      <c r="A163" s="4">
        <v>50</v>
      </c>
      <c r="B163" s="4">
        <v>1</v>
      </c>
      <c r="C163" s="4">
        <v>0</v>
      </c>
      <c r="D163" s="4">
        <v>2</v>
      </c>
      <c r="E163" s="4">
        <v>0</v>
      </c>
      <c r="F163" s="4">
        <f>ROUND(F162*0.2,O163)</f>
        <v>123200.66</v>
      </c>
      <c r="G163" s="4" t="s">
        <v>27</v>
      </c>
      <c r="H163" s="4" t="s">
        <v>124</v>
      </c>
      <c r="I163" s="4"/>
      <c r="J163" s="4"/>
      <c r="K163" s="4">
        <v>212</v>
      </c>
      <c r="L163" s="4">
        <v>28</v>
      </c>
      <c r="M163" s="4">
        <v>0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45" x14ac:dyDescent="0.2">
      <c r="A164" s="4">
        <v>50</v>
      </c>
      <c r="B164" s="4">
        <v>1</v>
      </c>
      <c r="C164" s="4">
        <v>0</v>
      </c>
      <c r="D164" s="4">
        <v>2</v>
      </c>
      <c r="E164" s="4">
        <v>0</v>
      </c>
      <c r="F164" s="4">
        <f>ROUND(F162+F163,O164)</f>
        <v>739203.96</v>
      </c>
      <c r="G164" s="4" t="s">
        <v>31</v>
      </c>
      <c r="H164" s="4" t="s">
        <v>121</v>
      </c>
      <c r="I164" s="4"/>
      <c r="J164" s="4"/>
      <c r="K164" s="4">
        <v>212</v>
      </c>
      <c r="L164" s="4">
        <v>29</v>
      </c>
      <c r="M164" s="4">
        <v>0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6" spans="1:245" x14ac:dyDescent="0.2">
      <c r="A166" s="1">
        <v>4</v>
      </c>
      <c r="B166" s="1">
        <v>1</v>
      </c>
      <c r="C166" s="1"/>
      <c r="D166" s="1">
        <f>ROW(A181)</f>
        <v>181</v>
      </c>
      <c r="E166" s="1"/>
      <c r="F166" s="1" t="s">
        <v>17</v>
      </c>
      <c r="G166" s="1" t="s">
        <v>530</v>
      </c>
      <c r="H166" s="1" t="s">
        <v>3</v>
      </c>
      <c r="I166" s="1">
        <v>0</v>
      </c>
      <c r="J166" s="1"/>
      <c r="K166" s="1">
        <v>-1</v>
      </c>
      <c r="L166" s="1"/>
      <c r="M166" s="1"/>
      <c r="N166" s="1"/>
      <c r="O166" s="1"/>
      <c r="P166" s="1"/>
      <c r="Q166" s="1"/>
      <c r="R166" s="1"/>
      <c r="S166" s="1"/>
      <c r="T166" s="1"/>
      <c r="U166" s="1" t="s">
        <v>3</v>
      </c>
      <c r="V166" s="1">
        <v>0</v>
      </c>
      <c r="W166" s="1"/>
      <c r="X166" s="1"/>
      <c r="Y166" s="1"/>
      <c r="Z166" s="1"/>
      <c r="AA166" s="1"/>
      <c r="AB166" s="1" t="s">
        <v>3</v>
      </c>
      <c r="AC166" s="1" t="s">
        <v>3</v>
      </c>
      <c r="AD166" s="1" t="s">
        <v>3</v>
      </c>
      <c r="AE166" s="1" t="s">
        <v>3</v>
      </c>
      <c r="AF166" s="1" t="s">
        <v>3</v>
      </c>
      <c r="AG166" s="1" t="s">
        <v>3</v>
      </c>
      <c r="AH166" s="1"/>
      <c r="AI166" s="1"/>
      <c r="AJ166" s="1"/>
      <c r="AK166" s="1"/>
      <c r="AL166" s="1"/>
      <c r="AM166" s="1"/>
      <c r="AN166" s="1"/>
      <c r="AO166" s="1"/>
      <c r="AP166" s="1" t="s">
        <v>3</v>
      </c>
      <c r="AQ166" s="1" t="s">
        <v>3</v>
      </c>
      <c r="AR166" s="1" t="s">
        <v>3</v>
      </c>
      <c r="AS166" s="1"/>
      <c r="AT166" s="1"/>
      <c r="AU166" s="1"/>
      <c r="AV166" s="1"/>
      <c r="AW166" s="1"/>
      <c r="AX166" s="1"/>
      <c r="AY166" s="1"/>
      <c r="AZ166" s="1" t="s">
        <v>3</v>
      </c>
      <c r="BA166" s="1"/>
      <c r="BB166" s="1" t="s">
        <v>3</v>
      </c>
      <c r="BC166" s="1" t="s">
        <v>3</v>
      </c>
      <c r="BD166" s="1" t="s">
        <v>3</v>
      </c>
      <c r="BE166" s="1" t="s">
        <v>3</v>
      </c>
      <c r="BF166" s="1" t="s">
        <v>3</v>
      </c>
      <c r="BG166" s="1" t="s">
        <v>3</v>
      </c>
      <c r="BH166" s="1" t="s">
        <v>3</v>
      </c>
      <c r="BI166" s="1" t="s">
        <v>3</v>
      </c>
      <c r="BJ166" s="1" t="s">
        <v>3</v>
      </c>
      <c r="BK166" s="1" t="s">
        <v>3</v>
      </c>
      <c r="BL166" s="1" t="s">
        <v>3</v>
      </c>
      <c r="BM166" s="1" t="s">
        <v>3</v>
      </c>
      <c r="BN166" s="1" t="s">
        <v>3</v>
      </c>
      <c r="BO166" s="1" t="s">
        <v>3</v>
      </c>
      <c r="BP166" s="1" t="s">
        <v>3</v>
      </c>
      <c r="BQ166" s="1"/>
      <c r="BR166" s="1"/>
      <c r="BS166" s="1"/>
      <c r="BT166" s="1"/>
      <c r="BU166" s="1"/>
      <c r="BV166" s="1"/>
      <c r="BW166" s="1"/>
      <c r="BX166" s="1">
        <v>0</v>
      </c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>
        <v>0</v>
      </c>
    </row>
    <row r="168" spans="1:245" x14ac:dyDescent="0.2">
      <c r="A168" s="2">
        <v>52</v>
      </c>
      <c r="B168" s="2">
        <f t="shared" ref="B168:G168" si="154">B181</f>
        <v>1</v>
      </c>
      <c r="C168" s="2">
        <f t="shared" si="154"/>
        <v>4</v>
      </c>
      <c r="D168" s="2">
        <f t="shared" si="154"/>
        <v>166</v>
      </c>
      <c r="E168" s="2">
        <f t="shared" si="154"/>
        <v>0</v>
      </c>
      <c r="F168" s="2" t="str">
        <f t="shared" si="154"/>
        <v>Новый раздел</v>
      </c>
      <c r="G168" s="2" t="str">
        <f t="shared" si="154"/>
        <v>Раздел 20.2 Ремонт газона (посевной) 10см</v>
      </c>
      <c r="H168" s="2"/>
      <c r="I168" s="2"/>
      <c r="J168" s="2"/>
      <c r="K168" s="2"/>
      <c r="L168" s="2"/>
      <c r="M168" s="2"/>
      <c r="N168" s="2"/>
      <c r="O168" s="2">
        <f t="shared" ref="O168:AT168" si="155">O181</f>
        <v>151772.17000000001</v>
      </c>
      <c r="P168" s="2">
        <f t="shared" si="155"/>
        <v>59882.83</v>
      </c>
      <c r="Q168" s="2">
        <f t="shared" si="155"/>
        <v>54847.63</v>
      </c>
      <c r="R168" s="2">
        <f t="shared" si="155"/>
        <v>28981.23</v>
      </c>
      <c r="S168" s="2">
        <f t="shared" si="155"/>
        <v>37041.71</v>
      </c>
      <c r="T168" s="2">
        <f t="shared" si="155"/>
        <v>0</v>
      </c>
      <c r="U168" s="2">
        <f t="shared" si="155"/>
        <v>197.16533700000002</v>
      </c>
      <c r="V168" s="2">
        <f t="shared" si="155"/>
        <v>0</v>
      </c>
      <c r="W168" s="2">
        <f t="shared" si="155"/>
        <v>0</v>
      </c>
      <c r="X168" s="2">
        <f t="shared" si="155"/>
        <v>25929.19</v>
      </c>
      <c r="Y168" s="2">
        <f t="shared" si="155"/>
        <v>3704.16</v>
      </c>
      <c r="Z168" s="2">
        <f t="shared" si="155"/>
        <v>0</v>
      </c>
      <c r="AA168" s="2">
        <f t="shared" si="155"/>
        <v>0</v>
      </c>
      <c r="AB168" s="2">
        <f t="shared" si="155"/>
        <v>151772.17000000001</v>
      </c>
      <c r="AC168" s="2">
        <f t="shared" si="155"/>
        <v>59882.83</v>
      </c>
      <c r="AD168" s="2">
        <f t="shared" si="155"/>
        <v>54847.63</v>
      </c>
      <c r="AE168" s="2">
        <f t="shared" si="155"/>
        <v>28981.23</v>
      </c>
      <c r="AF168" s="2">
        <f t="shared" si="155"/>
        <v>37041.71</v>
      </c>
      <c r="AG168" s="2">
        <f t="shared" si="155"/>
        <v>0</v>
      </c>
      <c r="AH168" s="2">
        <f t="shared" si="155"/>
        <v>197.16533700000002</v>
      </c>
      <c r="AI168" s="2">
        <f t="shared" si="155"/>
        <v>0</v>
      </c>
      <c r="AJ168" s="2">
        <f t="shared" si="155"/>
        <v>0</v>
      </c>
      <c r="AK168" s="2">
        <f t="shared" si="155"/>
        <v>25929.19</v>
      </c>
      <c r="AL168" s="2">
        <f t="shared" si="155"/>
        <v>3704.16</v>
      </c>
      <c r="AM168" s="2">
        <f t="shared" si="155"/>
        <v>0</v>
      </c>
      <c r="AN168" s="2">
        <f t="shared" si="155"/>
        <v>0</v>
      </c>
      <c r="AO168" s="2">
        <f t="shared" si="155"/>
        <v>0</v>
      </c>
      <c r="AP168" s="2">
        <f t="shared" si="155"/>
        <v>0</v>
      </c>
      <c r="AQ168" s="2">
        <f t="shared" si="155"/>
        <v>0</v>
      </c>
      <c r="AR168" s="2">
        <f t="shared" si="155"/>
        <v>183600.91</v>
      </c>
      <c r="AS168" s="2">
        <f t="shared" si="155"/>
        <v>8003.94</v>
      </c>
      <c r="AT168" s="2">
        <f t="shared" si="155"/>
        <v>0</v>
      </c>
      <c r="AU168" s="2">
        <f t="shared" ref="AU168:BZ168" si="156">AU181</f>
        <v>175596.97</v>
      </c>
      <c r="AV168" s="2">
        <f t="shared" si="156"/>
        <v>59882.83</v>
      </c>
      <c r="AW168" s="2">
        <f t="shared" si="156"/>
        <v>59882.83</v>
      </c>
      <c r="AX168" s="2">
        <f t="shared" si="156"/>
        <v>0</v>
      </c>
      <c r="AY168" s="2">
        <f t="shared" si="156"/>
        <v>59882.83</v>
      </c>
      <c r="AZ168" s="2">
        <f t="shared" si="156"/>
        <v>0</v>
      </c>
      <c r="BA168" s="2">
        <f t="shared" si="156"/>
        <v>0</v>
      </c>
      <c r="BB168" s="2">
        <f t="shared" si="156"/>
        <v>0</v>
      </c>
      <c r="BC168" s="2">
        <f t="shared" si="156"/>
        <v>0</v>
      </c>
      <c r="BD168" s="2">
        <f t="shared" si="156"/>
        <v>0</v>
      </c>
      <c r="BE168" s="2">
        <f t="shared" si="156"/>
        <v>0</v>
      </c>
      <c r="BF168" s="2">
        <f t="shared" si="156"/>
        <v>0</v>
      </c>
      <c r="BG168" s="2">
        <f t="shared" si="156"/>
        <v>0</v>
      </c>
      <c r="BH168" s="2">
        <f t="shared" si="156"/>
        <v>0</v>
      </c>
      <c r="BI168" s="2">
        <f t="shared" si="156"/>
        <v>0</v>
      </c>
      <c r="BJ168" s="2">
        <f t="shared" si="156"/>
        <v>0</v>
      </c>
      <c r="BK168" s="2">
        <f t="shared" si="156"/>
        <v>0</v>
      </c>
      <c r="BL168" s="2">
        <f t="shared" si="156"/>
        <v>0</v>
      </c>
      <c r="BM168" s="2">
        <f t="shared" si="156"/>
        <v>0</v>
      </c>
      <c r="BN168" s="2">
        <f t="shared" si="156"/>
        <v>0</v>
      </c>
      <c r="BO168" s="2">
        <f t="shared" si="156"/>
        <v>0</v>
      </c>
      <c r="BP168" s="2">
        <f t="shared" si="156"/>
        <v>0</v>
      </c>
      <c r="BQ168" s="2">
        <f t="shared" si="156"/>
        <v>0</v>
      </c>
      <c r="BR168" s="2">
        <f t="shared" si="156"/>
        <v>0</v>
      </c>
      <c r="BS168" s="2">
        <f t="shared" si="156"/>
        <v>0</v>
      </c>
      <c r="BT168" s="2">
        <f t="shared" si="156"/>
        <v>0</v>
      </c>
      <c r="BU168" s="2">
        <f t="shared" si="156"/>
        <v>0</v>
      </c>
      <c r="BV168" s="2">
        <f t="shared" si="156"/>
        <v>0</v>
      </c>
      <c r="BW168" s="2">
        <f t="shared" si="156"/>
        <v>0</v>
      </c>
      <c r="BX168" s="2">
        <f t="shared" si="156"/>
        <v>0</v>
      </c>
      <c r="BY168" s="2">
        <f t="shared" si="156"/>
        <v>0</v>
      </c>
      <c r="BZ168" s="2">
        <f t="shared" si="156"/>
        <v>0</v>
      </c>
      <c r="CA168" s="2">
        <f t="shared" ref="CA168:DF168" si="157">CA181</f>
        <v>183600.91</v>
      </c>
      <c r="CB168" s="2">
        <f t="shared" si="157"/>
        <v>8003.94</v>
      </c>
      <c r="CC168" s="2">
        <f t="shared" si="157"/>
        <v>0</v>
      </c>
      <c r="CD168" s="2">
        <f t="shared" si="157"/>
        <v>175596.97</v>
      </c>
      <c r="CE168" s="2">
        <f t="shared" si="157"/>
        <v>59882.83</v>
      </c>
      <c r="CF168" s="2">
        <f t="shared" si="157"/>
        <v>59882.83</v>
      </c>
      <c r="CG168" s="2">
        <f t="shared" si="157"/>
        <v>0</v>
      </c>
      <c r="CH168" s="2">
        <f t="shared" si="157"/>
        <v>59882.83</v>
      </c>
      <c r="CI168" s="2">
        <f t="shared" si="157"/>
        <v>0</v>
      </c>
      <c r="CJ168" s="2">
        <f t="shared" si="157"/>
        <v>0</v>
      </c>
      <c r="CK168" s="2">
        <f t="shared" si="157"/>
        <v>0</v>
      </c>
      <c r="CL168" s="2">
        <f t="shared" si="157"/>
        <v>0</v>
      </c>
      <c r="CM168" s="2">
        <f t="shared" si="157"/>
        <v>0</v>
      </c>
      <c r="CN168" s="2">
        <f t="shared" si="157"/>
        <v>0</v>
      </c>
      <c r="CO168" s="2">
        <f t="shared" si="157"/>
        <v>0</v>
      </c>
      <c r="CP168" s="2">
        <f t="shared" si="157"/>
        <v>0</v>
      </c>
      <c r="CQ168" s="2">
        <f t="shared" si="157"/>
        <v>0</v>
      </c>
      <c r="CR168" s="2">
        <f t="shared" si="157"/>
        <v>0</v>
      </c>
      <c r="CS168" s="2">
        <f t="shared" si="157"/>
        <v>0</v>
      </c>
      <c r="CT168" s="2">
        <f t="shared" si="157"/>
        <v>0</v>
      </c>
      <c r="CU168" s="2">
        <f t="shared" si="157"/>
        <v>0</v>
      </c>
      <c r="CV168" s="2">
        <f t="shared" si="157"/>
        <v>0</v>
      </c>
      <c r="CW168" s="2">
        <f t="shared" si="157"/>
        <v>0</v>
      </c>
      <c r="CX168" s="2">
        <f t="shared" si="157"/>
        <v>0</v>
      </c>
      <c r="CY168" s="2">
        <f t="shared" si="157"/>
        <v>0</v>
      </c>
      <c r="CZ168" s="2">
        <f t="shared" si="157"/>
        <v>0</v>
      </c>
      <c r="DA168" s="2">
        <f t="shared" si="157"/>
        <v>0</v>
      </c>
      <c r="DB168" s="2">
        <f t="shared" si="157"/>
        <v>0</v>
      </c>
      <c r="DC168" s="2">
        <f t="shared" si="157"/>
        <v>0</v>
      </c>
      <c r="DD168" s="2">
        <f t="shared" si="157"/>
        <v>0</v>
      </c>
      <c r="DE168" s="2">
        <f t="shared" si="157"/>
        <v>0</v>
      </c>
      <c r="DF168" s="2">
        <f t="shared" si="157"/>
        <v>0</v>
      </c>
      <c r="DG168" s="3">
        <f t="shared" ref="DG168:EL168" si="158">DG181</f>
        <v>0</v>
      </c>
      <c r="DH168" s="3">
        <f t="shared" si="158"/>
        <v>0</v>
      </c>
      <c r="DI168" s="3">
        <f t="shared" si="158"/>
        <v>0</v>
      </c>
      <c r="DJ168" s="3">
        <f t="shared" si="158"/>
        <v>0</v>
      </c>
      <c r="DK168" s="3">
        <f t="shared" si="158"/>
        <v>0</v>
      </c>
      <c r="DL168" s="3">
        <f t="shared" si="158"/>
        <v>0</v>
      </c>
      <c r="DM168" s="3">
        <f t="shared" si="158"/>
        <v>0</v>
      </c>
      <c r="DN168" s="3">
        <f t="shared" si="158"/>
        <v>0</v>
      </c>
      <c r="DO168" s="3">
        <f t="shared" si="158"/>
        <v>0</v>
      </c>
      <c r="DP168" s="3">
        <f t="shared" si="158"/>
        <v>0</v>
      </c>
      <c r="DQ168" s="3">
        <f t="shared" si="158"/>
        <v>0</v>
      </c>
      <c r="DR168" s="3">
        <f t="shared" si="158"/>
        <v>0</v>
      </c>
      <c r="DS168" s="3">
        <f t="shared" si="158"/>
        <v>0</v>
      </c>
      <c r="DT168" s="3">
        <f t="shared" si="158"/>
        <v>0</v>
      </c>
      <c r="DU168" s="3">
        <f t="shared" si="158"/>
        <v>0</v>
      </c>
      <c r="DV168" s="3">
        <f t="shared" si="158"/>
        <v>0</v>
      </c>
      <c r="DW168" s="3">
        <f t="shared" si="158"/>
        <v>0</v>
      </c>
      <c r="DX168" s="3">
        <f t="shared" si="158"/>
        <v>0</v>
      </c>
      <c r="DY168" s="3">
        <f t="shared" si="158"/>
        <v>0</v>
      </c>
      <c r="DZ168" s="3">
        <f t="shared" si="158"/>
        <v>0</v>
      </c>
      <c r="EA168" s="3">
        <f t="shared" si="158"/>
        <v>0</v>
      </c>
      <c r="EB168" s="3">
        <f t="shared" si="158"/>
        <v>0</v>
      </c>
      <c r="EC168" s="3">
        <f t="shared" si="158"/>
        <v>0</v>
      </c>
      <c r="ED168" s="3">
        <f t="shared" si="158"/>
        <v>0</v>
      </c>
      <c r="EE168" s="3">
        <f t="shared" si="158"/>
        <v>0</v>
      </c>
      <c r="EF168" s="3">
        <f t="shared" si="158"/>
        <v>0</v>
      </c>
      <c r="EG168" s="3">
        <f t="shared" si="158"/>
        <v>0</v>
      </c>
      <c r="EH168" s="3">
        <f t="shared" si="158"/>
        <v>0</v>
      </c>
      <c r="EI168" s="3">
        <f t="shared" si="158"/>
        <v>0</v>
      </c>
      <c r="EJ168" s="3">
        <f t="shared" si="158"/>
        <v>0</v>
      </c>
      <c r="EK168" s="3">
        <f t="shared" si="158"/>
        <v>0</v>
      </c>
      <c r="EL168" s="3">
        <f t="shared" si="158"/>
        <v>0</v>
      </c>
      <c r="EM168" s="3">
        <f t="shared" ref="EM168:FR168" si="159">EM181</f>
        <v>0</v>
      </c>
      <c r="EN168" s="3">
        <f t="shared" si="159"/>
        <v>0</v>
      </c>
      <c r="EO168" s="3">
        <f t="shared" si="159"/>
        <v>0</v>
      </c>
      <c r="EP168" s="3">
        <f t="shared" si="159"/>
        <v>0</v>
      </c>
      <c r="EQ168" s="3">
        <f t="shared" si="159"/>
        <v>0</v>
      </c>
      <c r="ER168" s="3">
        <f t="shared" si="159"/>
        <v>0</v>
      </c>
      <c r="ES168" s="3">
        <f t="shared" si="159"/>
        <v>0</v>
      </c>
      <c r="ET168" s="3">
        <f t="shared" si="159"/>
        <v>0</v>
      </c>
      <c r="EU168" s="3">
        <f t="shared" si="159"/>
        <v>0</v>
      </c>
      <c r="EV168" s="3">
        <f t="shared" si="159"/>
        <v>0</v>
      </c>
      <c r="EW168" s="3">
        <f t="shared" si="159"/>
        <v>0</v>
      </c>
      <c r="EX168" s="3">
        <f t="shared" si="159"/>
        <v>0</v>
      </c>
      <c r="EY168" s="3">
        <f t="shared" si="159"/>
        <v>0</v>
      </c>
      <c r="EZ168" s="3">
        <f t="shared" si="159"/>
        <v>0</v>
      </c>
      <c r="FA168" s="3">
        <f t="shared" si="159"/>
        <v>0</v>
      </c>
      <c r="FB168" s="3">
        <f t="shared" si="159"/>
        <v>0</v>
      </c>
      <c r="FC168" s="3">
        <f t="shared" si="159"/>
        <v>0</v>
      </c>
      <c r="FD168" s="3">
        <f t="shared" si="159"/>
        <v>0</v>
      </c>
      <c r="FE168" s="3">
        <f t="shared" si="159"/>
        <v>0</v>
      </c>
      <c r="FF168" s="3">
        <f t="shared" si="159"/>
        <v>0</v>
      </c>
      <c r="FG168" s="3">
        <f t="shared" si="159"/>
        <v>0</v>
      </c>
      <c r="FH168" s="3">
        <f t="shared" si="159"/>
        <v>0</v>
      </c>
      <c r="FI168" s="3">
        <f t="shared" si="159"/>
        <v>0</v>
      </c>
      <c r="FJ168" s="3">
        <f t="shared" si="159"/>
        <v>0</v>
      </c>
      <c r="FK168" s="3">
        <f t="shared" si="159"/>
        <v>0</v>
      </c>
      <c r="FL168" s="3">
        <f t="shared" si="159"/>
        <v>0</v>
      </c>
      <c r="FM168" s="3">
        <f t="shared" si="159"/>
        <v>0</v>
      </c>
      <c r="FN168" s="3">
        <f t="shared" si="159"/>
        <v>0</v>
      </c>
      <c r="FO168" s="3">
        <f t="shared" si="159"/>
        <v>0</v>
      </c>
      <c r="FP168" s="3">
        <f t="shared" si="159"/>
        <v>0</v>
      </c>
      <c r="FQ168" s="3">
        <f t="shared" si="159"/>
        <v>0</v>
      </c>
      <c r="FR168" s="3">
        <f t="shared" si="159"/>
        <v>0</v>
      </c>
      <c r="FS168" s="3">
        <f t="shared" ref="FS168:GX168" si="160">FS181</f>
        <v>0</v>
      </c>
      <c r="FT168" s="3">
        <f t="shared" si="160"/>
        <v>0</v>
      </c>
      <c r="FU168" s="3">
        <f t="shared" si="160"/>
        <v>0</v>
      </c>
      <c r="FV168" s="3">
        <f t="shared" si="160"/>
        <v>0</v>
      </c>
      <c r="FW168" s="3">
        <f t="shared" si="160"/>
        <v>0</v>
      </c>
      <c r="FX168" s="3">
        <f t="shared" si="160"/>
        <v>0</v>
      </c>
      <c r="FY168" s="3">
        <f t="shared" si="160"/>
        <v>0</v>
      </c>
      <c r="FZ168" s="3">
        <f t="shared" si="160"/>
        <v>0</v>
      </c>
      <c r="GA168" s="3">
        <f t="shared" si="160"/>
        <v>0</v>
      </c>
      <c r="GB168" s="3">
        <f t="shared" si="160"/>
        <v>0</v>
      </c>
      <c r="GC168" s="3">
        <f t="shared" si="160"/>
        <v>0</v>
      </c>
      <c r="GD168" s="3">
        <f t="shared" si="160"/>
        <v>0</v>
      </c>
      <c r="GE168" s="3">
        <f t="shared" si="160"/>
        <v>0</v>
      </c>
      <c r="GF168" s="3">
        <f t="shared" si="160"/>
        <v>0</v>
      </c>
      <c r="GG168" s="3">
        <f t="shared" si="160"/>
        <v>0</v>
      </c>
      <c r="GH168" s="3">
        <f t="shared" si="160"/>
        <v>0</v>
      </c>
      <c r="GI168" s="3">
        <f t="shared" si="160"/>
        <v>0</v>
      </c>
      <c r="GJ168" s="3">
        <f t="shared" si="160"/>
        <v>0</v>
      </c>
      <c r="GK168" s="3">
        <f t="shared" si="160"/>
        <v>0</v>
      </c>
      <c r="GL168" s="3">
        <f t="shared" si="160"/>
        <v>0</v>
      </c>
      <c r="GM168" s="3">
        <f t="shared" si="160"/>
        <v>0</v>
      </c>
      <c r="GN168" s="3">
        <f t="shared" si="160"/>
        <v>0</v>
      </c>
      <c r="GO168" s="3">
        <f t="shared" si="160"/>
        <v>0</v>
      </c>
      <c r="GP168" s="3">
        <f t="shared" si="160"/>
        <v>0</v>
      </c>
      <c r="GQ168" s="3">
        <f t="shared" si="160"/>
        <v>0</v>
      </c>
      <c r="GR168" s="3">
        <f t="shared" si="160"/>
        <v>0</v>
      </c>
      <c r="GS168" s="3">
        <f t="shared" si="160"/>
        <v>0</v>
      </c>
      <c r="GT168" s="3">
        <f t="shared" si="160"/>
        <v>0</v>
      </c>
      <c r="GU168" s="3">
        <f t="shared" si="160"/>
        <v>0</v>
      </c>
      <c r="GV168" s="3">
        <f t="shared" si="160"/>
        <v>0</v>
      </c>
      <c r="GW168" s="3">
        <f t="shared" si="160"/>
        <v>0</v>
      </c>
      <c r="GX168" s="3">
        <f t="shared" si="160"/>
        <v>0</v>
      </c>
    </row>
    <row r="170" spans="1:245" x14ac:dyDescent="0.2">
      <c r="A170">
        <v>17</v>
      </c>
      <c r="B170">
        <v>1</v>
      </c>
      <c r="C170">
        <f>ROW(SmtRes!A83)</f>
        <v>83</v>
      </c>
      <c r="D170">
        <f>ROW(EtalonRes!A81)</f>
        <v>81</v>
      </c>
      <c r="E170" t="s">
        <v>174</v>
      </c>
      <c r="F170" t="s">
        <v>20</v>
      </c>
      <c r="G170" t="s">
        <v>21</v>
      </c>
      <c r="H170" t="s">
        <v>22</v>
      </c>
      <c r="I170">
        <f>ROUND((570*0.1*0.9)/100,9)</f>
        <v>0.51300000000000001</v>
      </c>
      <c r="J170">
        <v>0</v>
      </c>
      <c r="O170">
        <f t="shared" ref="O170:O179" si="161">ROUND(CP170,2)</f>
        <v>4651.0600000000004</v>
      </c>
      <c r="P170">
        <f t="shared" ref="P170:P179" si="162">ROUND(CQ170*I170,2)</f>
        <v>0</v>
      </c>
      <c r="Q170">
        <f t="shared" ref="Q170:Q179" si="163">ROUND(CR170*I170,2)</f>
        <v>4503.63</v>
      </c>
      <c r="R170">
        <f t="shared" ref="R170:R179" si="164">ROUND(CS170*I170,2)</f>
        <v>1761.58</v>
      </c>
      <c r="S170">
        <f t="shared" ref="S170:S179" si="165">ROUND(CT170*I170,2)</f>
        <v>147.43</v>
      </c>
      <c r="T170">
        <f t="shared" ref="T170:T179" si="166">ROUND(CU170*I170,2)</f>
        <v>0</v>
      </c>
      <c r="U170">
        <f t="shared" ref="U170:U179" si="167">CV170*I170</f>
        <v>0.81567000000000001</v>
      </c>
      <c r="V170">
        <f t="shared" ref="V170:V179" si="168">CW170*I170</f>
        <v>0</v>
      </c>
      <c r="W170">
        <f t="shared" ref="W170:W179" si="169">ROUND(CX170*I170,2)</f>
        <v>0</v>
      </c>
      <c r="X170">
        <f t="shared" ref="X170:X179" si="170">ROUND(CY170,2)</f>
        <v>103.2</v>
      </c>
      <c r="Y170">
        <f t="shared" ref="Y170:Y179" si="171">ROUND(CZ170,2)</f>
        <v>14.74</v>
      </c>
      <c r="AA170">
        <v>42184655</v>
      </c>
      <c r="AB170">
        <f t="shared" ref="AB170:AB179" si="172">ROUND((AC170+AD170+AF170),6)</f>
        <v>9066.39</v>
      </c>
      <c r="AC170">
        <f>ROUND((ES170),6)</f>
        <v>0</v>
      </c>
      <c r="AD170">
        <f>ROUND((((ET170)-(EU170))+AE170),6)</f>
        <v>8779.01</v>
      </c>
      <c r="AE170">
        <f t="shared" ref="AE170:AF173" si="173">ROUND((EU170),6)</f>
        <v>3433.88</v>
      </c>
      <c r="AF170">
        <f t="shared" si="173"/>
        <v>287.38</v>
      </c>
      <c r="AG170">
        <f t="shared" ref="AG170:AG179" si="174">ROUND((AP170),6)</f>
        <v>0</v>
      </c>
      <c r="AH170">
        <f t="shared" ref="AH170:AI173" si="175">(EW170)</f>
        <v>1.59</v>
      </c>
      <c r="AI170">
        <f t="shared" si="175"/>
        <v>0</v>
      </c>
      <c r="AJ170">
        <f t="shared" ref="AJ170:AJ179" si="176">(AS170)</f>
        <v>0</v>
      </c>
      <c r="AK170">
        <v>9066.39</v>
      </c>
      <c r="AL170">
        <v>0</v>
      </c>
      <c r="AM170">
        <v>8779.01</v>
      </c>
      <c r="AN170">
        <v>3433.88</v>
      </c>
      <c r="AO170">
        <v>287.38</v>
      </c>
      <c r="AP170">
        <v>0</v>
      </c>
      <c r="AQ170">
        <v>1.59</v>
      </c>
      <c r="AR170">
        <v>0</v>
      </c>
      <c r="AS170">
        <v>0</v>
      </c>
      <c r="AT170">
        <v>70</v>
      </c>
      <c r="AU170">
        <v>10</v>
      </c>
      <c r="AV170">
        <v>1</v>
      </c>
      <c r="AW170">
        <v>1</v>
      </c>
      <c r="AZ170">
        <v>1</v>
      </c>
      <c r="BA170">
        <v>1</v>
      </c>
      <c r="BB170">
        <v>1</v>
      </c>
      <c r="BC170">
        <v>1</v>
      </c>
      <c r="BD170" t="s">
        <v>3</v>
      </c>
      <c r="BE170" t="s">
        <v>3</v>
      </c>
      <c r="BF170" t="s">
        <v>3</v>
      </c>
      <c r="BG170" t="s">
        <v>3</v>
      </c>
      <c r="BH170">
        <v>0</v>
      </c>
      <c r="BI170">
        <v>4</v>
      </c>
      <c r="BJ170" t="s">
        <v>23</v>
      </c>
      <c r="BM170">
        <v>0</v>
      </c>
      <c r="BN170">
        <v>0</v>
      </c>
      <c r="BO170" t="s">
        <v>3</v>
      </c>
      <c r="BP170">
        <v>0</v>
      </c>
      <c r="BQ170">
        <v>1</v>
      </c>
      <c r="BR170">
        <v>0</v>
      </c>
      <c r="BS170">
        <v>1</v>
      </c>
      <c r="BT170">
        <v>1</v>
      </c>
      <c r="BU170">
        <v>1</v>
      </c>
      <c r="BV170">
        <v>1</v>
      </c>
      <c r="BW170">
        <v>1</v>
      </c>
      <c r="BX170">
        <v>1</v>
      </c>
      <c r="BY170" t="s">
        <v>3</v>
      </c>
      <c r="BZ170">
        <v>70</v>
      </c>
      <c r="CA170">
        <v>10</v>
      </c>
      <c r="CE170">
        <v>0</v>
      </c>
      <c r="CF170">
        <v>0</v>
      </c>
      <c r="CG170">
        <v>0</v>
      </c>
      <c r="CM170">
        <v>0</v>
      </c>
      <c r="CN170" t="s">
        <v>3</v>
      </c>
      <c r="CO170">
        <v>0</v>
      </c>
      <c r="CP170">
        <f t="shared" ref="CP170:CP179" si="177">(P170+Q170+S170)</f>
        <v>4651.0600000000004</v>
      </c>
      <c r="CQ170">
        <f t="shared" ref="CQ170:CQ179" si="178">(AC170*BC170*AW170)</f>
        <v>0</v>
      </c>
      <c r="CR170">
        <f>((((ET170)*BB170-(EU170)*BS170)+AE170*BS170)*AV170)</f>
        <v>8779.01</v>
      </c>
      <c r="CS170">
        <f t="shared" ref="CS170:CS179" si="179">(AE170*BS170*AV170)</f>
        <v>3433.88</v>
      </c>
      <c r="CT170">
        <f t="shared" ref="CT170:CT179" si="180">(AF170*BA170*AV170)</f>
        <v>287.38</v>
      </c>
      <c r="CU170">
        <f t="shared" ref="CU170:CU179" si="181">AG170</f>
        <v>0</v>
      </c>
      <c r="CV170">
        <f t="shared" ref="CV170:CV179" si="182">(AH170*AV170)</f>
        <v>1.59</v>
      </c>
      <c r="CW170">
        <f t="shared" ref="CW170:CW179" si="183">AI170</f>
        <v>0</v>
      </c>
      <c r="CX170">
        <f t="shared" ref="CX170:CX179" si="184">AJ170</f>
        <v>0</v>
      </c>
      <c r="CY170">
        <f t="shared" ref="CY170:CY179" si="185">((S170*BZ170)/100)</f>
        <v>103.20100000000001</v>
      </c>
      <c r="CZ170">
        <f t="shared" ref="CZ170:CZ179" si="186">((S170*CA170)/100)</f>
        <v>14.743000000000002</v>
      </c>
      <c r="DC170" t="s">
        <v>3</v>
      </c>
      <c r="DD170" t="s">
        <v>3</v>
      </c>
      <c r="DE170" t="s">
        <v>3</v>
      </c>
      <c r="DF170" t="s">
        <v>3</v>
      </c>
      <c r="DG170" t="s">
        <v>3</v>
      </c>
      <c r="DH170" t="s">
        <v>3</v>
      </c>
      <c r="DI170" t="s">
        <v>3</v>
      </c>
      <c r="DJ170" t="s">
        <v>3</v>
      </c>
      <c r="DK170" t="s">
        <v>3</v>
      </c>
      <c r="DL170" t="s">
        <v>3</v>
      </c>
      <c r="DM170" t="s">
        <v>3</v>
      </c>
      <c r="DN170">
        <v>0</v>
      </c>
      <c r="DO170">
        <v>0</v>
      </c>
      <c r="DP170">
        <v>1</v>
      </c>
      <c r="DQ170">
        <v>1</v>
      </c>
      <c r="DU170">
        <v>1007</v>
      </c>
      <c r="DV170" t="s">
        <v>22</v>
      </c>
      <c r="DW170" t="s">
        <v>22</v>
      </c>
      <c r="DX170">
        <v>100</v>
      </c>
      <c r="EE170">
        <v>40658659</v>
      </c>
      <c r="EF170">
        <v>1</v>
      </c>
      <c r="EG170" t="s">
        <v>24</v>
      </c>
      <c r="EH170">
        <v>0</v>
      </c>
      <c r="EI170" t="s">
        <v>3</v>
      </c>
      <c r="EJ170">
        <v>4</v>
      </c>
      <c r="EK170">
        <v>0</v>
      </c>
      <c r="EL170" t="s">
        <v>25</v>
      </c>
      <c r="EM170" t="s">
        <v>26</v>
      </c>
      <c r="EO170" t="s">
        <v>3</v>
      </c>
      <c r="EQ170">
        <v>0</v>
      </c>
      <c r="ER170">
        <v>9066.39</v>
      </c>
      <c r="ES170">
        <v>0</v>
      </c>
      <c r="ET170">
        <v>8779.01</v>
      </c>
      <c r="EU170">
        <v>3433.88</v>
      </c>
      <c r="EV170">
        <v>287.38</v>
      </c>
      <c r="EW170">
        <v>1.59</v>
      </c>
      <c r="EX170">
        <v>0</v>
      </c>
      <c r="EY170">
        <v>0</v>
      </c>
      <c r="FQ170">
        <v>0</v>
      </c>
      <c r="FR170">
        <f t="shared" ref="FR170:FR179" si="187">ROUND(IF(AND(BH170=3,BI170=3),P170,0),2)</f>
        <v>0</v>
      </c>
      <c r="FS170">
        <v>0</v>
      </c>
      <c r="FX170">
        <v>70</v>
      </c>
      <c r="FY170">
        <v>10</v>
      </c>
      <c r="GA170" t="s">
        <v>3</v>
      </c>
      <c r="GD170">
        <v>0</v>
      </c>
      <c r="GF170">
        <v>786330748</v>
      </c>
      <c r="GG170">
        <v>2</v>
      </c>
      <c r="GH170">
        <v>1</v>
      </c>
      <c r="GI170">
        <v>-2</v>
      </c>
      <c r="GJ170">
        <v>0</v>
      </c>
      <c r="GK170">
        <f>ROUND(R170*(R12)/100,2)</f>
        <v>1902.51</v>
      </c>
      <c r="GL170">
        <f t="shared" ref="GL170:GL179" si="188">ROUND(IF(AND(BH170=3,BI170=3,FS170&lt;&gt;0),P170,0),2)</f>
        <v>0</v>
      </c>
      <c r="GM170">
        <f>ROUND(O170+X170+Y170+GK170,2)+GX170</f>
        <v>6671.51</v>
      </c>
      <c r="GN170">
        <f>IF(OR(BI170=0,BI170=1),ROUND(O170+X170+Y170+GK170,2),0)</f>
        <v>0</v>
      </c>
      <c r="GO170">
        <f>IF(BI170=2,ROUND(O170+X170+Y170+GK170,2),0)</f>
        <v>0</v>
      </c>
      <c r="GP170">
        <f>IF(BI170=4,ROUND(O170+X170+Y170+GK170,2)+GX170,0)</f>
        <v>6671.51</v>
      </c>
      <c r="GR170">
        <v>0</v>
      </c>
      <c r="GS170">
        <v>3</v>
      </c>
      <c r="GT170">
        <v>0</v>
      </c>
      <c r="GU170" t="s">
        <v>3</v>
      </c>
      <c r="GV170">
        <f t="shared" ref="GV170:GV179" si="189">ROUND((GT170),6)</f>
        <v>0</v>
      </c>
      <c r="GW170">
        <v>1</v>
      </c>
      <c r="GX170">
        <f t="shared" ref="GX170:GX179" si="190">ROUND(HC170*I170,2)</f>
        <v>0</v>
      </c>
      <c r="HA170">
        <v>0</v>
      </c>
      <c r="HB170">
        <v>0</v>
      </c>
      <c r="HC170">
        <f t="shared" ref="HC170:HC179" si="191">GV170*GW170</f>
        <v>0</v>
      </c>
      <c r="IK170">
        <v>0</v>
      </c>
    </row>
    <row r="171" spans="1:245" x14ac:dyDescent="0.2">
      <c r="A171">
        <v>17</v>
      </c>
      <c r="B171">
        <v>1</v>
      </c>
      <c r="C171">
        <f>ROW(SmtRes!A86)</f>
        <v>86</v>
      </c>
      <c r="D171">
        <f>ROW(EtalonRes!A84)</f>
        <v>84</v>
      </c>
      <c r="E171" t="s">
        <v>175</v>
      </c>
      <c r="F171" t="s">
        <v>20</v>
      </c>
      <c r="G171" t="s">
        <v>21</v>
      </c>
      <c r="H171" t="s">
        <v>22</v>
      </c>
      <c r="I171">
        <f>ROUND((570*0.1*0.9*0.1)/100,9)</f>
        <v>5.1299999999999998E-2</v>
      </c>
      <c r="J171">
        <v>0</v>
      </c>
      <c r="O171">
        <f t="shared" si="161"/>
        <v>465.1</v>
      </c>
      <c r="P171">
        <f t="shared" si="162"/>
        <v>0</v>
      </c>
      <c r="Q171">
        <f t="shared" si="163"/>
        <v>450.36</v>
      </c>
      <c r="R171">
        <f t="shared" si="164"/>
        <v>176.16</v>
      </c>
      <c r="S171">
        <f t="shared" si="165"/>
        <v>14.74</v>
      </c>
      <c r="T171">
        <f t="shared" si="166"/>
        <v>0</v>
      </c>
      <c r="U171">
        <f t="shared" si="167"/>
        <v>8.1567000000000001E-2</v>
      </c>
      <c r="V171">
        <f t="shared" si="168"/>
        <v>0</v>
      </c>
      <c r="W171">
        <f t="shared" si="169"/>
        <v>0</v>
      </c>
      <c r="X171">
        <f t="shared" si="170"/>
        <v>10.32</v>
      </c>
      <c r="Y171">
        <f t="shared" si="171"/>
        <v>1.47</v>
      </c>
      <c r="AA171">
        <v>42184655</v>
      </c>
      <c r="AB171">
        <f t="shared" si="172"/>
        <v>9066.39</v>
      </c>
      <c r="AC171">
        <f>ROUND((ES171),6)</f>
        <v>0</v>
      </c>
      <c r="AD171">
        <f>ROUND((((ET171)-(EU171))+AE171),6)</f>
        <v>8779.01</v>
      </c>
      <c r="AE171">
        <f t="shared" si="173"/>
        <v>3433.88</v>
      </c>
      <c r="AF171">
        <f t="shared" si="173"/>
        <v>287.38</v>
      </c>
      <c r="AG171">
        <f t="shared" si="174"/>
        <v>0</v>
      </c>
      <c r="AH171">
        <f t="shared" si="175"/>
        <v>1.59</v>
      </c>
      <c r="AI171">
        <f t="shared" si="175"/>
        <v>0</v>
      </c>
      <c r="AJ171">
        <f t="shared" si="176"/>
        <v>0</v>
      </c>
      <c r="AK171">
        <v>9066.39</v>
      </c>
      <c r="AL171">
        <v>0</v>
      </c>
      <c r="AM171">
        <v>8779.01</v>
      </c>
      <c r="AN171">
        <v>3433.88</v>
      </c>
      <c r="AO171">
        <v>287.38</v>
      </c>
      <c r="AP171">
        <v>0</v>
      </c>
      <c r="AQ171">
        <v>1.59</v>
      </c>
      <c r="AR171">
        <v>0</v>
      </c>
      <c r="AS171">
        <v>0</v>
      </c>
      <c r="AT171">
        <v>70</v>
      </c>
      <c r="AU171">
        <v>10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v>1</v>
      </c>
      <c r="BD171" t="s">
        <v>3</v>
      </c>
      <c r="BE171" t="s">
        <v>3</v>
      </c>
      <c r="BF171" t="s">
        <v>3</v>
      </c>
      <c r="BG171" t="s">
        <v>3</v>
      </c>
      <c r="BH171">
        <v>0</v>
      </c>
      <c r="BI171">
        <v>4</v>
      </c>
      <c r="BJ171" t="s">
        <v>23</v>
      </c>
      <c r="BM171">
        <v>0</v>
      </c>
      <c r="BN171">
        <v>0</v>
      </c>
      <c r="BO171" t="s">
        <v>3</v>
      </c>
      <c r="BP171">
        <v>0</v>
      </c>
      <c r="BQ171">
        <v>1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3</v>
      </c>
      <c r="BZ171">
        <v>70</v>
      </c>
      <c r="CA171">
        <v>10</v>
      </c>
      <c r="CE171">
        <v>0</v>
      </c>
      <c r="CF171">
        <v>0</v>
      </c>
      <c r="CG171">
        <v>0</v>
      </c>
      <c r="CM171">
        <v>0</v>
      </c>
      <c r="CN171" t="s">
        <v>3</v>
      </c>
      <c r="CO171">
        <v>0</v>
      </c>
      <c r="CP171">
        <f t="shared" si="177"/>
        <v>465.1</v>
      </c>
      <c r="CQ171">
        <f t="shared" si="178"/>
        <v>0</v>
      </c>
      <c r="CR171">
        <f>((((ET171)*BB171-(EU171)*BS171)+AE171*BS171)*AV171)</f>
        <v>8779.01</v>
      </c>
      <c r="CS171">
        <f t="shared" si="179"/>
        <v>3433.88</v>
      </c>
      <c r="CT171">
        <f t="shared" si="180"/>
        <v>287.38</v>
      </c>
      <c r="CU171">
        <f t="shared" si="181"/>
        <v>0</v>
      </c>
      <c r="CV171">
        <f t="shared" si="182"/>
        <v>1.59</v>
      </c>
      <c r="CW171">
        <f t="shared" si="183"/>
        <v>0</v>
      </c>
      <c r="CX171">
        <f t="shared" si="184"/>
        <v>0</v>
      </c>
      <c r="CY171">
        <f t="shared" si="185"/>
        <v>10.318</v>
      </c>
      <c r="CZ171">
        <f t="shared" si="186"/>
        <v>1.474</v>
      </c>
      <c r="DC171" t="s">
        <v>3</v>
      </c>
      <c r="DD171" t="s">
        <v>3</v>
      </c>
      <c r="DE171" t="s">
        <v>3</v>
      </c>
      <c r="DF171" t="s">
        <v>3</v>
      </c>
      <c r="DG171" t="s">
        <v>3</v>
      </c>
      <c r="DH171" t="s">
        <v>3</v>
      </c>
      <c r="DI171" t="s">
        <v>3</v>
      </c>
      <c r="DJ171" t="s">
        <v>3</v>
      </c>
      <c r="DK171" t="s">
        <v>3</v>
      </c>
      <c r="DL171" t="s">
        <v>3</v>
      </c>
      <c r="DM171" t="s">
        <v>3</v>
      </c>
      <c r="DN171">
        <v>0</v>
      </c>
      <c r="DO171">
        <v>0</v>
      </c>
      <c r="DP171">
        <v>1</v>
      </c>
      <c r="DQ171">
        <v>1</v>
      </c>
      <c r="DU171">
        <v>1007</v>
      </c>
      <c r="DV171" t="s">
        <v>22</v>
      </c>
      <c r="DW171" t="s">
        <v>22</v>
      </c>
      <c r="DX171">
        <v>100</v>
      </c>
      <c r="EE171">
        <v>40658659</v>
      </c>
      <c r="EF171">
        <v>1</v>
      </c>
      <c r="EG171" t="s">
        <v>24</v>
      </c>
      <c r="EH171">
        <v>0</v>
      </c>
      <c r="EI171" t="s">
        <v>3</v>
      </c>
      <c r="EJ171">
        <v>4</v>
      </c>
      <c r="EK171">
        <v>0</v>
      </c>
      <c r="EL171" t="s">
        <v>25</v>
      </c>
      <c r="EM171" t="s">
        <v>26</v>
      </c>
      <c r="EO171" t="s">
        <v>3</v>
      </c>
      <c r="EQ171">
        <v>0</v>
      </c>
      <c r="ER171">
        <v>9066.39</v>
      </c>
      <c r="ES171">
        <v>0</v>
      </c>
      <c r="ET171">
        <v>8779.01</v>
      </c>
      <c r="EU171">
        <v>3433.88</v>
      </c>
      <c r="EV171">
        <v>287.38</v>
      </c>
      <c r="EW171">
        <v>1.59</v>
      </c>
      <c r="EX171">
        <v>0</v>
      </c>
      <c r="EY171">
        <v>0</v>
      </c>
      <c r="FQ171">
        <v>0</v>
      </c>
      <c r="FR171">
        <f t="shared" si="187"/>
        <v>0</v>
      </c>
      <c r="FS171">
        <v>0</v>
      </c>
      <c r="FX171">
        <v>70</v>
      </c>
      <c r="FY171">
        <v>10</v>
      </c>
      <c r="GA171" t="s">
        <v>3</v>
      </c>
      <c r="GD171">
        <v>0</v>
      </c>
      <c r="GF171">
        <v>786330748</v>
      </c>
      <c r="GG171">
        <v>2</v>
      </c>
      <c r="GH171">
        <v>1</v>
      </c>
      <c r="GI171">
        <v>-2</v>
      </c>
      <c r="GJ171">
        <v>0</v>
      </c>
      <c r="GK171">
        <f>ROUND(R171*(R12)/100,2)</f>
        <v>190.25</v>
      </c>
      <c r="GL171">
        <f t="shared" si="188"/>
        <v>0</v>
      </c>
      <c r="GM171">
        <f>ROUND(O171+X171+Y171+GK171,2)+GX171</f>
        <v>667.14</v>
      </c>
      <c r="GN171">
        <f>IF(OR(BI171=0,BI171=1),ROUND(O171+X171+Y171+GK171,2),0)</f>
        <v>0</v>
      </c>
      <c r="GO171">
        <f>IF(BI171=2,ROUND(O171+X171+Y171+GK171,2),0)</f>
        <v>0</v>
      </c>
      <c r="GP171">
        <f>IF(BI171=4,ROUND(O171+X171+Y171+GK171,2)+GX171,0)</f>
        <v>667.14</v>
      </c>
      <c r="GR171">
        <v>0</v>
      </c>
      <c r="GS171">
        <v>3</v>
      </c>
      <c r="GT171">
        <v>0</v>
      </c>
      <c r="GU171" t="s">
        <v>3</v>
      </c>
      <c r="GV171">
        <f t="shared" si="189"/>
        <v>0</v>
      </c>
      <c r="GW171">
        <v>1</v>
      </c>
      <c r="GX171">
        <f t="shared" si="190"/>
        <v>0</v>
      </c>
      <c r="HA171">
        <v>0</v>
      </c>
      <c r="HB171">
        <v>0</v>
      </c>
      <c r="HC171">
        <f t="shared" si="191"/>
        <v>0</v>
      </c>
      <c r="IK171">
        <v>0</v>
      </c>
    </row>
    <row r="172" spans="1:245" x14ac:dyDescent="0.2">
      <c r="A172">
        <v>17</v>
      </c>
      <c r="B172">
        <v>1</v>
      </c>
      <c r="C172">
        <f>ROW(SmtRes!A87)</f>
        <v>87</v>
      </c>
      <c r="D172">
        <f>ROW(EtalonRes!A85)</f>
        <v>85</v>
      </c>
      <c r="E172" t="s">
        <v>176</v>
      </c>
      <c r="F172" t="s">
        <v>32</v>
      </c>
      <c r="G172" t="s">
        <v>33</v>
      </c>
      <c r="H172" t="s">
        <v>22</v>
      </c>
      <c r="I172">
        <f>ROUND((570*0.1*0.1)*0.1/100,9)</f>
        <v>5.7000000000000002E-3</v>
      </c>
      <c r="J172">
        <v>0</v>
      </c>
      <c r="O172">
        <f t="shared" si="161"/>
        <v>63.44</v>
      </c>
      <c r="P172">
        <f t="shared" si="162"/>
        <v>0</v>
      </c>
      <c r="Q172">
        <f t="shared" si="163"/>
        <v>0</v>
      </c>
      <c r="R172">
        <f t="shared" si="164"/>
        <v>0</v>
      </c>
      <c r="S172">
        <f t="shared" si="165"/>
        <v>63.44</v>
      </c>
      <c r="T172">
        <f t="shared" si="166"/>
        <v>0</v>
      </c>
      <c r="U172">
        <f t="shared" si="167"/>
        <v>0.47310000000000002</v>
      </c>
      <c r="V172">
        <f t="shared" si="168"/>
        <v>0</v>
      </c>
      <c r="W172">
        <f t="shared" si="169"/>
        <v>0</v>
      </c>
      <c r="X172">
        <f t="shared" si="170"/>
        <v>44.41</v>
      </c>
      <c r="Y172">
        <f t="shared" si="171"/>
        <v>6.34</v>
      </c>
      <c r="AA172">
        <v>42184655</v>
      </c>
      <c r="AB172">
        <f t="shared" si="172"/>
        <v>11130.3</v>
      </c>
      <c r="AC172">
        <f>ROUND((ES172),6)</f>
        <v>0</v>
      </c>
      <c r="AD172">
        <f>ROUND((((ET172)-(EU172))+AE172),6)</f>
        <v>0</v>
      </c>
      <c r="AE172">
        <f t="shared" si="173"/>
        <v>0</v>
      </c>
      <c r="AF172">
        <f t="shared" si="173"/>
        <v>11130.3</v>
      </c>
      <c r="AG172">
        <f t="shared" si="174"/>
        <v>0</v>
      </c>
      <c r="AH172">
        <f t="shared" si="175"/>
        <v>83</v>
      </c>
      <c r="AI172">
        <f t="shared" si="175"/>
        <v>0</v>
      </c>
      <c r="AJ172">
        <f t="shared" si="176"/>
        <v>0</v>
      </c>
      <c r="AK172">
        <v>11130.3</v>
      </c>
      <c r="AL172">
        <v>0</v>
      </c>
      <c r="AM172">
        <v>0</v>
      </c>
      <c r="AN172">
        <v>0</v>
      </c>
      <c r="AO172">
        <v>11130.3</v>
      </c>
      <c r="AP172">
        <v>0</v>
      </c>
      <c r="AQ172">
        <v>83</v>
      </c>
      <c r="AR172">
        <v>0</v>
      </c>
      <c r="AS172">
        <v>0</v>
      </c>
      <c r="AT172">
        <v>70</v>
      </c>
      <c r="AU172">
        <v>10</v>
      </c>
      <c r="AV172">
        <v>1</v>
      </c>
      <c r="AW172">
        <v>1</v>
      </c>
      <c r="AZ172">
        <v>1</v>
      </c>
      <c r="BA172">
        <v>1</v>
      </c>
      <c r="BB172">
        <v>1</v>
      </c>
      <c r="BC172">
        <v>1</v>
      </c>
      <c r="BD172" t="s">
        <v>3</v>
      </c>
      <c r="BE172" t="s">
        <v>3</v>
      </c>
      <c r="BF172" t="s">
        <v>3</v>
      </c>
      <c r="BG172" t="s">
        <v>3</v>
      </c>
      <c r="BH172">
        <v>0</v>
      </c>
      <c r="BI172">
        <v>4</v>
      </c>
      <c r="BJ172" t="s">
        <v>34</v>
      </c>
      <c r="BM172">
        <v>0</v>
      </c>
      <c r="BN172">
        <v>0</v>
      </c>
      <c r="BO172" t="s">
        <v>3</v>
      </c>
      <c r="BP172">
        <v>0</v>
      </c>
      <c r="BQ172">
        <v>1</v>
      </c>
      <c r="BR172">
        <v>0</v>
      </c>
      <c r="BS172">
        <v>1</v>
      </c>
      <c r="BT172">
        <v>1</v>
      </c>
      <c r="BU172">
        <v>1</v>
      </c>
      <c r="BV172">
        <v>1</v>
      </c>
      <c r="BW172">
        <v>1</v>
      </c>
      <c r="BX172">
        <v>1</v>
      </c>
      <c r="BY172" t="s">
        <v>3</v>
      </c>
      <c r="BZ172">
        <v>70</v>
      </c>
      <c r="CA172">
        <v>10</v>
      </c>
      <c r="CE172">
        <v>0</v>
      </c>
      <c r="CF172">
        <v>0</v>
      </c>
      <c r="CG172">
        <v>0</v>
      </c>
      <c r="CM172">
        <v>0</v>
      </c>
      <c r="CN172" t="s">
        <v>3</v>
      </c>
      <c r="CO172">
        <v>0</v>
      </c>
      <c r="CP172">
        <f t="shared" si="177"/>
        <v>63.44</v>
      </c>
      <c r="CQ172">
        <f t="shared" si="178"/>
        <v>0</v>
      </c>
      <c r="CR172">
        <f>((((ET172)*BB172-(EU172)*BS172)+AE172*BS172)*AV172)</f>
        <v>0</v>
      </c>
      <c r="CS172">
        <f t="shared" si="179"/>
        <v>0</v>
      </c>
      <c r="CT172">
        <f t="shared" si="180"/>
        <v>11130.3</v>
      </c>
      <c r="CU172">
        <f t="shared" si="181"/>
        <v>0</v>
      </c>
      <c r="CV172">
        <f t="shared" si="182"/>
        <v>83</v>
      </c>
      <c r="CW172">
        <f t="shared" si="183"/>
        <v>0</v>
      </c>
      <c r="CX172">
        <f t="shared" si="184"/>
        <v>0</v>
      </c>
      <c r="CY172">
        <f t="shared" si="185"/>
        <v>44.408000000000001</v>
      </c>
      <c r="CZ172">
        <f t="shared" si="186"/>
        <v>6.3439999999999994</v>
      </c>
      <c r="DC172" t="s">
        <v>3</v>
      </c>
      <c r="DD172" t="s">
        <v>3</v>
      </c>
      <c r="DE172" t="s">
        <v>3</v>
      </c>
      <c r="DF172" t="s">
        <v>3</v>
      </c>
      <c r="DG172" t="s">
        <v>3</v>
      </c>
      <c r="DH172" t="s">
        <v>3</v>
      </c>
      <c r="DI172" t="s">
        <v>3</v>
      </c>
      <c r="DJ172" t="s">
        <v>3</v>
      </c>
      <c r="DK172" t="s">
        <v>3</v>
      </c>
      <c r="DL172" t="s">
        <v>3</v>
      </c>
      <c r="DM172" t="s">
        <v>3</v>
      </c>
      <c r="DN172">
        <v>0</v>
      </c>
      <c r="DO172">
        <v>0</v>
      </c>
      <c r="DP172">
        <v>1</v>
      </c>
      <c r="DQ172">
        <v>1</v>
      </c>
      <c r="DU172">
        <v>1007</v>
      </c>
      <c r="DV172" t="s">
        <v>22</v>
      </c>
      <c r="DW172" t="s">
        <v>22</v>
      </c>
      <c r="DX172">
        <v>100</v>
      </c>
      <c r="EE172">
        <v>40658659</v>
      </c>
      <c r="EF172">
        <v>1</v>
      </c>
      <c r="EG172" t="s">
        <v>24</v>
      </c>
      <c r="EH172">
        <v>0</v>
      </c>
      <c r="EI172" t="s">
        <v>3</v>
      </c>
      <c r="EJ172">
        <v>4</v>
      </c>
      <c r="EK172">
        <v>0</v>
      </c>
      <c r="EL172" t="s">
        <v>25</v>
      </c>
      <c r="EM172" t="s">
        <v>26</v>
      </c>
      <c r="EO172" t="s">
        <v>3</v>
      </c>
      <c r="EQ172">
        <v>0</v>
      </c>
      <c r="ER172">
        <v>11130.3</v>
      </c>
      <c r="ES172">
        <v>0</v>
      </c>
      <c r="ET172">
        <v>0</v>
      </c>
      <c r="EU172">
        <v>0</v>
      </c>
      <c r="EV172">
        <v>11130.3</v>
      </c>
      <c r="EW172">
        <v>83</v>
      </c>
      <c r="EX172">
        <v>0</v>
      </c>
      <c r="EY172">
        <v>0</v>
      </c>
      <c r="FQ172">
        <v>0</v>
      </c>
      <c r="FR172">
        <f t="shared" si="187"/>
        <v>0</v>
      </c>
      <c r="FS172">
        <v>0</v>
      </c>
      <c r="FX172">
        <v>70</v>
      </c>
      <c r="FY172">
        <v>10</v>
      </c>
      <c r="GA172" t="s">
        <v>3</v>
      </c>
      <c r="GD172">
        <v>0</v>
      </c>
      <c r="GF172">
        <v>-1649887295</v>
      </c>
      <c r="GG172">
        <v>2</v>
      </c>
      <c r="GH172">
        <v>1</v>
      </c>
      <c r="GI172">
        <v>-2</v>
      </c>
      <c r="GJ172">
        <v>0</v>
      </c>
      <c r="GK172">
        <f>ROUND(R172*(R12)/100,2)</f>
        <v>0</v>
      </c>
      <c r="GL172">
        <f t="shared" si="188"/>
        <v>0</v>
      </c>
      <c r="GM172">
        <f>ROUND(O172+X172+Y172+GK172,2)+GX172</f>
        <v>114.19</v>
      </c>
      <c r="GN172">
        <f>IF(OR(BI172=0,BI172=1),ROUND(O172+X172+Y172+GK172,2),0)</f>
        <v>0</v>
      </c>
      <c r="GO172">
        <f>IF(BI172=2,ROUND(O172+X172+Y172+GK172,2),0)</f>
        <v>0</v>
      </c>
      <c r="GP172">
        <f>IF(BI172=4,ROUND(O172+X172+Y172+GK172,2)+GX172,0)</f>
        <v>114.19</v>
      </c>
      <c r="GR172">
        <v>0</v>
      </c>
      <c r="GS172">
        <v>3</v>
      </c>
      <c r="GT172">
        <v>0</v>
      </c>
      <c r="GU172" t="s">
        <v>3</v>
      </c>
      <c r="GV172">
        <f t="shared" si="189"/>
        <v>0</v>
      </c>
      <c r="GW172">
        <v>1</v>
      </c>
      <c r="GX172">
        <f t="shared" si="190"/>
        <v>0</v>
      </c>
      <c r="HA172">
        <v>0</v>
      </c>
      <c r="HB172">
        <v>0</v>
      </c>
      <c r="HC172">
        <f t="shared" si="191"/>
        <v>0</v>
      </c>
      <c r="IK172">
        <v>0</v>
      </c>
    </row>
    <row r="173" spans="1:245" x14ac:dyDescent="0.2">
      <c r="A173">
        <v>17</v>
      </c>
      <c r="B173">
        <v>1</v>
      </c>
      <c r="C173">
        <f>ROW(SmtRes!A88)</f>
        <v>88</v>
      </c>
      <c r="D173">
        <f>ROW(EtalonRes!A86)</f>
        <v>86</v>
      </c>
      <c r="E173" t="s">
        <v>177</v>
      </c>
      <c r="F173" t="s">
        <v>36</v>
      </c>
      <c r="G173" t="s">
        <v>37</v>
      </c>
      <c r="H173" t="s">
        <v>38</v>
      </c>
      <c r="I173">
        <f>ROUND(570*0.1,9)</f>
        <v>57</v>
      </c>
      <c r="J173">
        <v>0</v>
      </c>
      <c r="O173">
        <f t="shared" si="161"/>
        <v>2694.39</v>
      </c>
      <c r="P173">
        <f t="shared" si="162"/>
        <v>0</v>
      </c>
      <c r="Q173">
        <f t="shared" si="163"/>
        <v>2694.39</v>
      </c>
      <c r="R173">
        <f t="shared" si="164"/>
        <v>1462.62</v>
      </c>
      <c r="S173">
        <f t="shared" si="165"/>
        <v>0</v>
      </c>
      <c r="T173">
        <f t="shared" si="166"/>
        <v>0</v>
      </c>
      <c r="U173">
        <f t="shared" si="167"/>
        <v>0</v>
      </c>
      <c r="V173">
        <f t="shared" si="168"/>
        <v>0</v>
      </c>
      <c r="W173">
        <f t="shared" si="169"/>
        <v>0</v>
      </c>
      <c r="X173">
        <f t="shared" si="170"/>
        <v>0</v>
      </c>
      <c r="Y173">
        <f t="shared" si="171"/>
        <v>0</v>
      </c>
      <c r="AA173">
        <v>42184655</v>
      </c>
      <c r="AB173">
        <f t="shared" si="172"/>
        <v>47.27</v>
      </c>
      <c r="AC173">
        <f>ROUND((ES173),6)</f>
        <v>0</v>
      </c>
      <c r="AD173">
        <f>ROUND((((ET173)-(EU173))+AE173),6)</f>
        <v>47.27</v>
      </c>
      <c r="AE173">
        <f t="shared" si="173"/>
        <v>25.66</v>
      </c>
      <c r="AF173">
        <f t="shared" si="173"/>
        <v>0</v>
      </c>
      <c r="AG173">
        <f t="shared" si="174"/>
        <v>0</v>
      </c>
      <c r="AH173">
        <f t="shared" si="175"/>
        <v>0</v>
      </c>
      <c r="AI173">
        <f t="shared" si="175"/>
        <v>0</v>
      </c>
      <c r="AJ173">
        <f t="shared" si="176"/>
        <v>0</v>
      </c>
      <c r="AK173">
        <v>47.27</v>
      </c>
      <c r="AL173">
        <v>0</v>
      </c>
      <c r="AM173">
        <v>47.27</v>
      </c>
      <c r="AN173">
        <v>25.66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1</v>
      </c>
      <c r="BD173" t="s">
        <v>3</v>
      </c>
      <c r="BE173" t="s">
        <v>3</v>
      </c>
      <c r="BF173" t="s">
        <v>3</v>
      </c>
      <c r="BG173" t="s">
        <v>3</v>
      </c>
      <c r="BH173">
        <v>0</v>
      </c>
      <c r="BI173">
        <v>4</v>
      </c>
      <c r="BJ173" t="s">
        <v>39</v>
      </c>
      <c r="BM173">
        <v>1</v>
      </c>
      <c r="BN173">
        <v>0</v>
      </c>
      <c r="BO173" t="s">
        <v>3</v>
      </c>
      <c r="BP173">
        <v>0</v>
      </c>
      <c r="BQ173">
        <v>1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3</v>
      </c>
      <c r="BZ173">
        <v>0</v>
      </c>
      <c r="CA173">
        <v>0</v>
      </c>
      <c r="CE173">
        <v>0</v>
      </c>
      <c r="CF173">
        <v>0</v>
      </c>
      <c r="CG173">
        <v>0</v>
      </c>
      <c r="CM173">
        <v>0</v>
      </c>
      <c r="CN173" t="s">
        <v>3</v>
      </c>
      <c r="CO173">
        <v>0</v>
      </c>
      <c r="CP173">
        <f t="shared" si="177"/>
        <v>2694.39</v>
      </c>
      <c r="CQ173">
        <f t="shared" si="178"/>
        <v>0</v>
      </c>
      <c r="CR173">
        <f>((((ET173)*BB173-(EU173)*BS173)+AE173*BS173)*AV173)</f>
        <v>47.27</v>
      </c>
      <c r="CS173">
        <f t="shared" si="179"/>
        <v>25.66</v>
      </c>
      <c r="CT173">
        <f t="shared" si="180"/>
        <v>0</v>
      </c>
      <c r="CU173">
        <f t="shared" si="181"/>
        <v>0</v>
      </c>
      <c r="CV173">
        <f t="shared" si="182"/>
        <v>0</v>
      </c>
      <c r="CW173">
        <f t="shared" si="183"/>
        <v>0</v>
      </c>
      <c r="CX173">
        <f t="shared" si="184"/>
        <v>0</v>
      </c>
      <c r="CY173">
        <f t="shared" si="185"/>
        <v>0</v>
      </c>
      <c r="CZ173">
        <f t="shared" si="186"/>
        <v>0</v>
      </c>
      <c r="DC173" t="s">
        <v>3</v>
      </c>
      <c r="DD173" t="s">
        <v>3</v>
      </c>
      <c r="DE173" t="s">
        <v>3</v>
      </c>
      <c r="DF173" t="s">
        <v>3</v>
      </c>
      <c r="DG173" t="s">
        <v>3</v>
      </c>
      <c r="DH173" t="s">
        <v>3</v>
      </c>
      <c r="DI173" t="s">
        <v>3</v>
      </c>
      <c r="DJ173" t="s">
        <v>3</v>
      </c>
      <c r="DK173" t="s">
        <v>3</v>
      </c>
      <c r="DL173" t="s">
        <v>3</v>
      </c>
      <c r="DM173" t="s">
        <v>3</v>
      </c>
      <c r="DN173">
        <v>0</v>
      </c>
      <c r="DO173">
        <v>0</v>
      </c>
      <c r="DP173">
        <v>1</v>
      </c>
      <c r="DQ173">
        <v>1</v>
      </c>
      <c r="DU173">
        <v>1007</v>
      </c>
      <c r="DV173" t="s">
        <v>38</v>
      </c>
      <c r="DW173" t="s">
        <v>38</v>
      </c>
      <c r="DX173">
        <v>1</v>
      </c>
      <c r="EE173">
        <v>40658662</v>
      </c>
      <c r="EF173">
        <v>1</v>
      </c>
      <c r="EG173" t="s">
        <v>24</v>
      </c>
      <c r="EH173">
        <v>0</v>
      </c>
      <c r="EI173" t="s">
        <v>3</v>
      </c>
      <c r="EJ173">
        <v>4</v>
      </c>
      <c r="EK173">
        <v>1</v>
      </c>
      <c r="EL173" t="s">
        <v>40</v>
      </c>
      <c r="EM173" t="s">
        <v>26</v>
      </c>
      <c r="EO173" t="s">
        <v>3</v>
      </c>
      <c r="EQ173">
        <v>0</v>
      </c>
      <c r="ER173">
        <v>47.27</v>
      </c>
      <c r="ES173">
        <v>0</v>
      </c>
      <c r="ET173">
        <v>47.27</v>
      </c>
      <c r="EU173">
        <v>25.66</v>
      </c>
      <c r="EV173">
        <v>0</v>
      </c>
      <c r="EW173">
        <v>0</v>
      </c>
      <c r="EX173">
        <v>0</v>
      </c>
      <c r="EY173">
        <v>0</v>
      </c>
      <c r="FQ173">
        <v>0</v>
      </c>
      <c r="FR173">
        <f t="shared" si="187"/>
        <v>0</v>
      </c>
      <c r="FS173">
        <v>0</v>
      </c>
      <c r="FX173">
        <v>0</v>
      </c>
      <c r="FY173">
        <v>0</v>
      </c>
      <c r="GA173" t="s">
        <v>3</v>
      </c>
      <c r="GD173">
        <v>1</v>
      </c>
      <c r="GF173">
        <v>-1249335408</v>
      </c>
      <c r="GG173">
        <v>2</v>
      </c>
      <c r="GH173">
        <v>1</v>
      </c>
      <c r="GI173">
        <v>-2</v>
      </c>
      <c r="GJ173">
        <v>0</v>
      </c>
      <c r="GK173">
        <v>0</v>
      </c>
      <c r="GL173">
        <f t="shared" si="188"/>
        <v>0</v>
      </c>
      <c r="GM173">
        <f>ROUND(O173+X173+Y173,2)+GX173</f>
        <v>2694.39</v>
      </c>
      <c r="GN173">
        <f>IF(OR(BI173=0,BI173=1),ROUND(O173+X173+Y173,2),0)</f>
        <v>0</v>
      </c>
      <c r="GO173">
        <f>IF(BI173=2,ROUND(O173+X173+Y173,2),0)</f>
        <v>0</v>
      </c>
      <c r="GP173">
        <f>IF(BI173=4,ROUND(O173+X173+Y173,2)+GX173,0)</f>
        <v>2694.39</v>
      </c>
      <c r="GR173">
        <v>0</v>
      </c>
      <c r="GS173">
        <v>3</v>
      </c>
      <c r="GT173">
        <v>0</v>
      </c>
      <c r="GU173" t="s">
        <v>3</v>
      </c>
      <c r="GV173">
        <f t="shared" si="189"/>
        <v>0</v>
      </c>
      <c r="GW173">
        <v>1</v>
      </c>
      <c r="GX173">
        <f t="shared" si="190"/>
        <v>0</v>
      </c>
      <c r="HA173">
        <v>0</v>
      </c>
      <c r="HB173">
        <v>0</v>
      </c>
      <c r="HC173">
        <f t="shared" si="191"/>
        <v>0</v>
      </c>
      <c r="IK173">
        <v>0</v>
      </c>
    </row>
    <row r="174" spans="1:245" x14ac:dyDescent="0.2">
      <c r="A174">
        <v>17</v>
      </c>
      <c r="B174">
        <v>1</v>
      </c>
      <c r="C174">
        <f>ROW(SmtRes!A89)</f>
        <v>89</v>
      </c>
      <c r="D174">
        <f>ROW(EtalonRes!A87)</f>
        <v>87</v>
      </c>
      <c r="E174" t="s">
        <v>178</v>
      </c>
      <c r="F174" t="s">
        <v>42</v>
      </c>
      <c r="G174" t="s">
        <v>43</v>
      </c>
      <c r="H174" t="s">
        <v>38</v>
      </c>
      <c r="I174">
        <f>ROUND(I173,9)</f>
        <v>57</v>
      </c>
      <c r="J174">
        <v>0</v>
      </c>
      <c r="O174">
        <f t="shared" si="161"/>
        <v>46939.5</v>
      </c>
      <c r="P174">
        <f t="shared" si="162"/>
        <v>0</v>
      </c>
      <c r="Q174">
        <f t="shared" si="163"/>
        <v>46939.5</v>
      </c>
      <c r="R174">
        <f t="shared" si="164"/>
        <v>25485.84</v>
      </c>
      <c r="S174">
        <f t="shared" si="165"/>
        <v>0</v>
      </c>
      <c r="T174">
        <f t="shared" si="166"/>
        <v>0</v>
      </c>
      <c r="U174">
        <f t="shared" si="167"/>
        <v>0</v>
      </c>
      <c r="V174">
        <f t="shared" si="168"/>
        <v>0</v>
      </c>
      <c r="W174">
        <f t="shared" si="169"/>
        <v>0</v>
      </c>
      <c r="X174">
        <f t="shared" si="170"/>
        <v>0</v>
      </c>
      <c r="Y174">
        <f t="shared" si="171"/>
        <v>0</v>
      </c>
      <c r="AA174">
        <v>42184655</v>
      </c>
      <c r="AB174">
        <f t="shared" si="172"/>
        <v>823.5</v>
      </c>
      <c r="AC174">
        <f>ROUND(((ES174*54)),6)</f>
        <v>0</v>
      </c>
      <c r="AD174">
        <f>ROUND(((((ET174*54))-((EU174*54)))+AE174),6)</f>
        <v>823.5</v>
      </c>
      <c r="AE174">
        <f>ROUND(((EU174*54)),6)</f>
        <v>447.12</v>
      </c>
      <c r="AF174">
        <f>ROUND(((EV174*54)),6)</f>
        <v>0</v>
      </c>
      <c r="AG174">
        <f t="shared" si="174"/>
        <v>0</v>
      </c>
      <c r="AH174">
        <f>((EW174*54))</f>
        <v>0</v>
      </c>
      <c r="AI174">
        <f>((EX174*54))</f>
        <v>0</v>
      </c>
      <c r="AJ174">
        <f t="shared" si="176"/>
        <v>0</v>
      </c>
      <c r="AK174">
        <v>15.25</v>
      </c>
      <c r="AL174">
        <v>0</v>
      </c>
      <c r="AM174">
        <v>15.25</v>
      </c>
      <c r="AN174">
        <v>8.2799999999999994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1</v>
      </c>
      <c r="AZ174">
        <v>1</v>
      </c>
      <c r="BA174">
        <v>1</v>
      </c>
      <c r="BB174">
        <v>1</v>
      </c>
      <c r="BC174">
        <v>1</v>
      </c>
      <c r="BD174" t="s">
        <v>3</v>
      </c>
      <c r="BE174" t="s">
        <v>3</v>
      </c>
      <c r="BF174" t="s">
        <v>3</v>
      </c>
      <c r="BG174" t="s">
        <v>3</v>
      </c>
      <c r="BH174">
        <v>0</v>
      </c>
      <c r="BI174">
        <v>4</v>
      </c>
      <c r="BJ174" t="s">
        <v>44</v>
      </c>
      <c r="BM174">
        <v>1</v>
      </c>
      <c r="BN174">
        <v>0</v>
      </c>
      <c r="BO174" t="s">
        <v>3</v>
      </c>
      <c r="BP174">
        <v>0</v>
      </c>
      <c r="BQ174">
        <v>1</v>
      </c>
      <c r="BR174">
        <v>0</v>
      </c>
      <c r="BS174">
        <v>1</v>
      </c>
      <c r="BT174">
        <v>1</v>
      </c>
      <c r="BU174">
        <v>1</v>
      </c>
      <c r="BV174">
        <v>1</v>
      </c>
      <c r="BW174">
        <v>1</v>
      </c>
      <c r="BX174">
        <v>1</v>
      </c>
      <c r="BY174" t="s">
        <v>3</v>
      </c>
      <c r="BZ174">
        <v>0</v>
      </c>
      <c r="CA174">
        <v>0</v>
      </c>
      <c r="CE174">
        <v>0</v>
      </c>
      <c r="CF174">
        <v>0</v>
      </c>
      <c r="CG174">
        <v>0</v>
      </c>
      <c r="CM174">
        <v>0</v>
      </c>
      <c r="CN174" t="s">
        <v>3</v>
      </c>
      <c r="CO174">
        <v>0</v>
      </c>
      <c r="CP174">
        <f t="shared" si="177"/>
        <v>46939.5</v>
      </c>
      <c r="CQ174">
        <f t="shared" si="178"/>
        <v>0</v>
      </c>
      <c r="CR174">
        <f>(((((ET174*54))*BB174-((EU174*54))*BS174)+AE174*BS174)*AV174)</f>
        <v>823.5</v>
      </c>
      <c r="CS174">
        <f t="shared" si="179"/>
        <v>447.12</v>
      </c>
      <c r="CT174">
        <f t="shared" si="180"/>
        <v>0</v>
      </c>
      <c r="CU174">
        <f t="shared" si="181"/>
        <v>0</v>
      </c>
      <c r="CV174">
        <f t="shared" si="182"/>
        <v>0</v>
      </c>
      <c r="CW174">
        <f t="shared" si="183"/>
        <v>0</v>
      </c>
      <c r="CX174">
        <f t="shared" si="184"/>
        <v>0</v>
      </c>
      <c r="CY174">
        <f t="shared" si="185"/>
        <v>0</v>
      </c>
      <c r="CZ174">
        <f t="shared" si="186"/>
        <v>0</v>
      </c>
      <c r="DC174" t="s">
        <v>3</v>
      </c>
      <c r="DD174" t="s">
        <v>45</v>
      </c>
      <c r="DE174" t="s">
        <v>45</v>
      </c>
      <c r="DF174" t="s">
        <v>45</v>
      </c>
      <c r="DG174" t="s">
        <v>45</v>
      </c>
      <c r="DH174" t="s">
        <v>3</v>
      </c>
      <c r="DI174" t="s">
        <v>45</v>
      </c>
      <c r="DJ174" t="s">
        <v>45</v>
      </c>
      <c r="DK174" t="s">
        <v>3</v>
      </c>
      <c r="DL174" t="s">
        <v>3</v>
      </c>
      <c r="DM174" t="s">
        <v>3</v>
      </c>
      <c r="DN174">
        <v>0</v>
      </c>
      <c r="DO174">
        <v>0</v>
      </c>
      <c r="DP174">
        <v>1</v>
      </c>
      <c r="DQ174">
        <v>1</v>
      </c>
      <c r="DU174">
        <v>1007</v>
      </c>
      <c r="DV174" t="s">
        <v>38</v>
      </c>
      <c r="DW174" t="s">
        <v>38</v>
      </c>
      <c r="DX174">
        <v>1</v>
      </c>
      <c r="EE174">
        <v>40658662</v>
      </c>
      <c r="EF174">
        <v>1</v>
      </c>
      <c r="EG174" t="s">
        <v>24</v>
      </c>
      <c r="EH174">
        <v>0</v>
      </c>
      <c r="EI174" t="s">
        <v>3</v>
      </c>
      <c r="EJ174">
        <v>4</v>
      </c>
      <c r="EK174">
        <v>1</v>
      </c>
      <c r="EL174" t="s">
        <v>40</v>
      </c>
      <c r="EM174" t="s">
        <v>26</v>
      </c>
      <c r="EO174" t="s">
        <v>3</v>
      </c>
      <c r="EQ174">
        <v>0</v>
      </c>
      <c r="ER174">
        <v>15.25</v>
      </c>
      <c r="ES174">
        <v>0</v>
      </c>
      <c r="ET174">
        <v>15.25</v>
      </c>
      <c r="EU174">
        <v>8.2799999999999994</v>
      </c>
      <c r="EV174">
        <v>0</v>
      </c>
      <c r="EW174">
        <v>0</v>
      </c>
      <c r="EX174">
        <v>0</v>
      </c>
      <c r="EY174">
        <v>0</v>
      </c>
      <c r="FQ174">
        <v>0</v>
      </c>
      <c r="FR174">
        <f t="shared" si="187"/>
        <v>0</v>
      </c>
      <c r="FS174">
        <v>0</v>
      </c>
      <c r="FX174">
        <v>0</v>
      </c>
      <c r="FY174">
        <v>0</v>
      </c>
      <c r="GA174" t="s">
        <v>3</v>
      </c>
      <c r="GD174">
        <v>1</v>
      </c>
      <c r="GF174">
        <v>1511999612</v>
      </c>
      <c r="GG174">
        <v>2</v>
      </c>
      <c r="GH174">
        <v>1</v>
      </c>
      <c r="GI174">
        <v>-2</v>
      </c>
      <c r="GJ174">
        <v>0</v>
      </c>
      <c r="GK174">
        <v>0</v>
      </c>
      <c r="GL174">
        <f t="shared" si="188"/>
        <v>0</v>
      </c>
      <c r="GM174">
        <f>ROUND(O174+X174+Y174,2)+GX174</f>
        <v>46939.5</v>
      </c>
      <c r="GN174">
        <f>IF(OR(BI174=0,BI174=1),ROUND(O174+X174+Y174,2),0)</f>
        <v>0</v>
      </c>
      <c r="GO174">
        <f>IF(BI174=2,ROUND(O174+X174+Y174,2),0)</f>
        <v>0</v>
      </c>
      <c r="GP174">
        <f>IF(BI174=4,ROUND(O174+X174+Y174,2)+GX174,0)</f>
        <v>46939.5</v>
      </c>
      <c r="GR174">
        <v>0</v>
      </c>
      <c r="GS174">
        <v>3</v>
      </c>
      <c r="GT174">
        <v>0</v>
      </c>
      <c r="GU174" t="s">
        <v>3</v>
      </c>
      <c r="GV174">
        <f t="shared" si="189"/>
        <v>0</v>
      </c>
      <c r="GW174">
        <v>1</v>
      </c>
      <c r="GX174">
        <f t="shared" si="190"/>
        <v>0</v>
      </c>
      <c r="HA174">
        <v>0</v>
      </c>
      <c r="HB174">
        <v>0</v>
      </c>
      <c r="HC174">
        <f t="shared" si="191"/>
        <v>0</v>
      </c>
      <c r="IK174">
        <v>0</v>
      </c>
    </row>
    <row r="175" spans="1:245" x14ac:dyDescent="0.2">
      <c r="A175">
        <v>17</v>
      </c>
      <c r="B175">
        <v>1</v>
      </c>
      <c r="E175" t="s">
        <v>179</v>
      </c>
      <c r="F175" t="s">
        <v>47</v>
      </c>
      <c r="G175" t="s">
        <v>48</v>
      </c>
      <c r="H175" t="s">
        <v>3</v>
      </c>
      <c r="I175">
        <f>ROUND(I173*1.4,9)</f>
        <v>79.8</v>
      </c>
      <c r="J175">
        <v>0</v>
      </c>
      <c r="O175">
        <f t="shared" si="161"/>
        <v>8003.94</v>
      </c>
      <c r="P175">
        <f t="shared" si="162"/>
        <v>8003.94</v>
      </c>
      <c r="Q175">
        <f t="shared" si="163"/>
        <v>0</v>
      </c>
      <c r="R175">
        <f t="shared" si="164"/>
        <v>0</v>
      </c>
      <c r="S175">
        <f t="shared" si="165"/>
        <v>0</v>
      </c>
      <c r="T175">
        <f t="shared" si="166"/>
        <v>0</v>
      </c>
      <c r="U175">
        <f t="shared" si="167"/>
        <v>0</v>
      </c>
      <c r="V175">
        <f t="shared" si="168"/>
        <v>0</v>
      </c>
      <c r="W175">
        <f t="shared" si="169"/>
        <v>0</v>
      </c>
      <c r="X175">
        <f t="shared" si="170"/>
        <v>0</v>
      </c>
      <c r="Y175">
        <f t="shared" si="171"/>
        <v>0</v>
      </c>
      <c r="AA175">
        <v>42184655</v>
      </c>
      <c r="AB175">
        <f t="shared" si="172"/>
        <v>100.3</v>
      </c>
      <c r="AC175">
        <f>ROUND((ES175),6)</f>
        <v>100.3</v>
      </c>
      <c r="AD175">
        <f>ROUND((((ET175)-(EU175))+AE175),6)</f>
        <v>0</v>
      </c>
      <c r="AE175">
        <f t="shared" ref="AE175:AF179" si="192">ROUND((EU175),6)</f>
        <v>0</v>
      </c>
      <c r="AF175">
        <f t="shared" si="192"/>
        <v>0</v>
      </c>
      <c r="AG175">
        <f t="shared" si="174"/>
        <v>0</v>
      </c>
      <c r="AH175">
        <f t="shared" ref="AH175:AI179" si="193">(EW175)</f>
        <v>0</v>
      </c>
      <c r="AI175">
        <f t="shared" si="193"/>
        <v>0</v>
      </c>
      <c r="AJ175">
        <f t="shared" si="176"/>
        <v>0</v>
      </c>
      <c r="AK175">
        <v>100.3</v>
      </c>
      <c r="AL175">
        <v>100.3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v>1</v>
      </c>
      <c r="BD175" t="s">
        <v>3</v>
      </c>
      <c r="BE175" t="s">
        <v>3</v>
      </c>
      <c r="BF175" t="s">
        <v>3</v>
      </c>
      <c r="BG175" t="s">
        <v>3</v>
      </c>
      <c r="BH175">
        <v>3</v>
      </c>
      <c r="BI175">
        <v>1</v>
      </c>
      <c r="BJ175" t="s">
        <v>3</v>
      </c>
      <c r="BM175">
        <v>6001</v>
      </c>
      <c r="BN175">
        <v>0</v>
      </c>
      <c r="BO175" t="s">
        <v>3</v>
      </c>
      <c r="BP175">
        <v>0</v>
      </c>
      <c r="BQ175">
        <v>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3</v>
      </c>
      <c r="BZ175">
        <v>0</v>
      </c>
      <c r="CA175">
        <v>0</v>
      </c>
      <c r="CE175">
        <v>0</v>
      </c>
      <c r="CF175">
        <v>0</v>
      </c>
      <c r="CG175">
        <v>0</v>
      </c>
      <c r="CM175">
        <v>0</v>
      </c>
      <c r="CN175" t="s">
        <v>3</v>
      </c>
      <c r="CO175">
        <v>0</v>
      </c>
      <c r="CP175">
        <f t="shared" si="177"/>
        <v>8003.94</v>
      </c>
      <c r="CQ175">
        <f t="shared" si="178"/>
        <v>100.3</v>
      </c>
      <c r="CR175">
        <f>((((ET175)*BB175-(EU175)*BS175)+AE175*BS175)*AV175)</f>
        <v>0</v>
      </c>
      <c r="CS175">
        <f t="shared" si="179"/>
        <v>0</v>
      </c>
      <c r="CT175">
        <f t="shared" si="180"/>
        <v>0</v>
      </c>
      <c r="CU175">
        <f t="shared" si="181"/>
        <v>0</v>
      </c>
      <c r="CV175">
        <f t="shared" si="182"/>
        <v>0</v>
      </c>
      <c r="CW175">
        <f t="shared" si="183"/>
        <v>0</v>
      </c>
      <c r="CX175">
        <f t="shared" si="184"/>
        <v>0</v>
      </c>
      <c r="CY175">
        <f t="shared" si="185"/>
        <v>0</v>
      </c>
      <c r="CZ175">
        <f t="shared" si="186"/>
        <v>0</v>
      </c>
      <c r="DC175" t="s">
        <v>3</v>
      </c>
      <c r="DD175" t="s">
        <v>3</v>
      </c>
      <c r="DE175" t="s">
        <v>3</v>
      </c>
      <c r="DF175" t="s">
        <v>3</v>
      </c>
      <c r="DG175" t="s">
        <v>3</v>
      </c>
      <c r="DH175" t="s">
        <v>3</v>
      </c>
      <c r="DI175" t="s">
        <v>3</v>
      </c>
      <c r="DJ175" t="s">
        <v>3</v>
      </c>
      <c r="DK175" t="s">
        <v>3</v>
      </c>
      <c r="DL175" t="s">
        <v>3</v>
      </c>
      <c r="DM175" t="s">
        <v>3</v>
      </c>
      <c r="DN175">
        <v>0</v>
      </c>
      <c r="DO175">
        <v>0</v>
      </c>
      <c r="DP175">
        <v>1</v>
      </c>
      <c r="DQ175">
        <v>1</v>
      </c>
      <c r="EE175">
        <v>42086242</v>
      </c>
      <c r="EF175">
        <v>0</v>
      </c>
      <c r="EG175" t="s">
        <v>49</v>
      </c>
      <c r="EH175">
        <v>0</v>
      </c>
      <c r="EI175" t="s">
        <v>3</v>
      </c>
      <c r="EJ175">
        <v>1</v>
      </c>
      <c r="EK175">
        <v>6001</v>
      </c>
      <c r="EL175" t="s">
        <v>50</v>
      </c>
      <c r="EM175" t="s">
        <v>49</v>
      </c>
      <c r="EO175" t="s">
        <v>3</v>
      </c>
      <c r="EQ175">
        <v>0</v>
      </c>
      <c r="ER175">
        <v>100.3</v>
      </c>
      <c r="ES175">
        <v>100.3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5</v>
      </c>
      <c r="FC175">
        <v>0</v>
      </c>
      <c r="FD175">
        <v>18</v>
      </c>
      <c r="FF175">
        <v>100.3</v>
      </c>
      <c r="FQ175">
        <v>0</v>
      </c>
      <c r="FR175">
        <f t="shared" si="187"/>
        <v>0</v>
      </c>
      <c r="FS175">
        <v>0</v>
      </c>
      <c r="FX175">
        <v>0</v>
      </c>
      <c r="FY175">
        <v>0</v>
      </c>
      <c r="GA175" t="s">
        <v>51</v>
      </c>
      <c r="GD175">
        <v>0</v>
      </c>
      <c r="GF175">
        <v>572566054</v>
      </c>
      <c r="GG175">
        <v>2</v>
      </c>
      <c r="GH175">
        <v>3</v>
      </c>
      <c r="GI175">
        <v>-2</v>
      </c>
      <c r="GJ175">
        <v>0</v>
      </c>
      <c r="GK175">
        <f>ROUND(R175*(R12)/100,2)</f>
        <v>0</v>
      </c>
      <c r="GL175">
        <f t="shared" si="188"/>
        <v>0</v>
      </c>
      <c r="GM175">
        <f>ROUND(O175+X175+Y175+GK175,2)+GX175</f>
        <v>8003.94</v>
      </c>
      <c r="GN175">
        <f>IF(OR(BI175=0,BI175=1),ROUND(O175+X175+Y175+GK175,2),0)</f>
        <v>8003.94</v>
      </c>
      <c r="GO175">
        <f>IF(BI175=2,ROUND(O175+X175+Y175+GK175,2),0)</f>
        <v>0</v>
      </c>
      <c r="GP175">
        <f>IF(BI175=4,ROUND(O175+X175+Y175+GK175,2)+GX175,0)</f>
        <v>0</v>
      </c>
      <c r="GR175">
        <v>1</v>
      </c>
      <c r="GS175">
        <v>1</v>
      </c>
      <c r="GT175">
        <v>0</v>
      </c>
      <c r="GU175" t="s">
        <v>3</v>
      </c>
      <c r="GV175">
        <f t="shared" si="189"/>
        <v>0</v>
      </c>
      <c r="GW175">
        <v>1</v>
      </c>
      <c r="GX175">
        <f t="shared" si="190"/>
        <v>0</v>
      </c>
      <c r="HA175">
        <v>0</v>
      </c>
      <c r="HB175">
        <v>0</v>
      </c>
      <c r="HC175">
        <f t="shared" si="191"/>
        <v>0</v>
      </c>
      <c r="IK175">
        <v>0</v>
      </c>
    </row>
    <row r="176" spans="1:245" x14ac:dyDescent="0.2">
      <c r="A176">
        <v>17</v>
      </c>
      <c r="B176">
        <v>1</v>
      </c>
      <c r="C176">
        <f>ROW(SmtRes!A93)</f>
        <v>93</v>
      </c>
      <c r="D176">
        <f>ROW(EtalonRes!A91)</f>
        <v>91</v>
      </c>
      <c r="E176" t="s">
        <v>180</v>
      </c>
      <c r="F176" t="s">
        <v>181</v>
      </c>
      <c r="G176" t="s">
        <v>182</v>
      </c>
      <c r="H176" t="s">
        <v>63</v>
      </c>
      <c r="I176">
        <f>ROUND(570*0.75/100,9)</f>
        <v>4.2750000000000004</v>
      </c>
      <c r="J176">
        <v>0</v>
      </c>
      <c r="O176">
        <f t="shared" si="161"/>
        <v>72950.44</v>
      </c>
      <c r="P176">
        <f t="shared" si="162"/>
        <v>48329.09</v>
      </c>
      <c r="Q176">
        <f t="shared" si="163"/>
        <v>259.75</v>
      </c>
      <c r="R176">
        <f t="shared" si="164"/>
        <v>95.03</v>
      </c>
      <c r="S176">
        <f t="shared" si="165"/>
        <v>24361.599999999999</v>
      </c>
      <c r="T176">
        <f t="shared" si="166"/>
        <v>0</v>
      </c>
      <c r="U176">
        <f t="shared" si="167"/>
        <v>131.67000000000002</v>
      </c>
      <c r="V176">
        <f t="shared" si="168"/>
        <v>0</v>
      </c>
      <c r="W176">
        <f t="shared" si="169"/>
        <v>0</v>
      </c>
      <c r="X176">
        <f t="shared" si="170"/>
        <v>17053.12</v>
      </c>
      <c r="Y176">
        <f t="shared" si="171"/>
        <v>2436.16</v>
      </c>
      <c r="AA176">
        <v>42184655</v>
      </c>
      <c r="AB176">
        <f t="shared" si="172"/>
        <v>17064.43</v>
      </c>
      <c r="AC176">
        <f>ROUND((ES176),6)</f>
        <v>11305.05</v>
      </c>
      <c r="AD176">
        <f>ROUND((((ET176)-(EU176))+AE176),6)</f>
        <v>60.76</v>
      </c>
      <c r="AE176">
        <f t="shared" si="192"/>
        <v>22.23</v>
      </c>
      <c r="AF176">
        <f t="shared" si="192"/>
        <v>5698.62</v>
      </c>
      <c r="AG176">
        <f t="shared" si="174"/>
        <v>0</v>
      </c>
      <c r="AH176">
        <f t="shared" si="193"/>
        <v>30.8</v>
      </c>
      <c r="AI176">
        <f t="shared" si="193"/>
        <v>0</v>
      </c>
      <c r="AJ176">
        <f t="shared" si="176"/>
        <v>0</v>
      </c>
      <c r="AK176">
        <v>17064.43</v>
      </c>
      <c r="AL176">
        <v>11305.05</v>
      </c>
      <c r="AM176">
        <v>60.76</v>
      </c>
      <c r="AN176">
        <v>22.23</v>
      </c>
      <c r="AO176">
        <v>5698.62</v>
      </c>
      <c r="AP176">
        <v>0</v>
      </c>
      <c r="AQ176">
        <v>30.8</v>
      </c>
      <c r="AR176">
        <v>0</v>
      </c>
      <c r="AS176">
        <v>0</v>
      </c>
      <c r="AT176">
        <v>70</v>
      </c>
      <c r="AU176">
        <v>10</v>
      </c>
      <c r="AV176">
        <v>1</v>
      </c>
      <c r="AW176">
        <v>1</v>
      </c>
      <c r="AZ176">
        <v>1</v>
      </c>
      <c r="BA176">
        <v>1</v>
      </c>
      <c r="BB176">
        <v>1</v>
      </c>
      <c r="BC176">
        <v>1</v>
      </c>
      <c r="BD176" t="s">
        <v>3</v>
      </c>
      <c r="BE176" t="s">
        <v>3</v>
      </c>
      <c r="BF176" t="s">
        <v>3</v>
      </c>
      <c r="BG176" t="s">
        <v>3</v>
      </c>
      <c r="BH176">
        <v>0</v>
      </c>
      <c r="BI176">
        <v>4</v>
      </c>
      <c r="BJ176" t="s">
        <v>183</v>
      </c>
      <c r="BM176">
        <v>0</v>
      </c>
      <c r="BN176">
        <v>0</v>
      </c>
      <c r="BO176" t="s">
        <v>3</v>
      </c>
      <c r="BP176">
        <v>0</v>
      </c>
      <c r="BQ176">
        <v>1</v>
      </c>
      <c r="BR176">
        <v>0</v>
      </c>
      <c r="BS176">
        <v>1</v>
      </c>
      <c r="BT176">
        <v>1</v>
      </c>
      <c r="BU176">
        <v>1</v>
      </c>
      <c r="BV176">
        <v>1</v>
      </c>
      <c r="BW176">
        <v>1</v>
      </c>
      <c r="BX176">
        <v>1</v>
      </c>
      <c r="BY176" t="s">
        <v>3</v>
      </c>
      <c r="BZ176">
        <v>70</v>
      </c>
      <c r="CA176">
        <v>10</v>
      </c>
      <c r="CE176">
        <v>0</v>
      </c>
      <c r="CF176">
        <v>0</v>
      </c>
      <c r="CG176">
        <v>0</v>
      </c>
      <c r="CM176">
        <v>0</v>
      </c>
      <c r="CN176" t="s">
        <v>3</v>
      </c>
      <c r="CO176">
        <v>0</v>
      </c>
      <c r="CP176">
        <f t="shared" si="177"/>
        <v>72950.44</v>
      </c>
      <c r="CQ176">
        <f t="shared" si="178"/>
        <v>11305.05</v>
      </c>
      <c r="CR176">
        <f>((((ET176)*BB176-(EU176)*BS176)+AE176*BS176)*AV176)</f>
        <v>60.760000000000005</v>
      </c>
      <c r="CS176">
        <f t="shared" si="179"/>
        <v>22.23</v>
      </c>
      <c r="CT176">
        <f t="shared" si="180"/>
        <v>5698.62</v>
      </c>
      <c r="CU176">
        <f t="shared" si="181"/>
        <v>0</v>
      </c>
      <c r="CV176">
        <f t="shared" si="182"/>
        <v>30.8</v>
      </c>
      <c r="CW176">
        <f t="shared" si="183"/>
        <v>0</v>
      </c>
      <c r="CX176">
        <f t="shared" si="184"/>
        <v>0</v>
      </c>
      <c r="CY176">
        <f t="shared" si="185"/>
        <v>17053.12</v>
      </c>
      <c r="CZ176">
        <f t="shared" si="186"/>
        <v>2436.16</v>
      </c>
      <c r="DC176" t="s">
        <v>3</v>
      </c>
      <c r="DD176" t="s">
        <v>3</v>
      </c>
      <c r="DE176" t="s">
        <v>3</v>
      </c>
      <c r="DF176" t="s">
        <v>3</v>
      </c>
      <c r="DG176" t="s">
        <v>3</v>
      </c>
      <c r="DH176" t="s">
        <v>3</v>
      </c>
      <c r="DI176" t="s">
        <v>3</v>
      </c>
      <c r="DJ176" t="s">
        <v>3</v>
      </c>
      <c r="DK176" t="s">
        <v>3</v>
      </c>
      <c r="DL176" t="s">
        <v>3</v>
      </c>
      <c r="DM176" t="s">
        <v>3</v>
      </c>
      <c r="DN176">
        <v>0</v>
      </c>
      <c r="DO176">
        <v>0</v>
      </c>
      <c r="DP176">
        <v>1</v>
      </c>
      <c r="DQ176">
        <v>1</v>
      </c>
      <c r="DU176">
        <v>1005</v>
      </c>
      <c r="DV176" t="s">
        <v>63</v>
      </c>
      <c r="DW176" t="s">
        <v>63</v>
      </c>
      <c r="DX176">
        <v>100</v>
      </c>
      <c r="EE176">
        <v>40658659</v>
      </c>
      <c r="EF176">
        <v>1</v>
      </c>
      <c r="EG176" t="s">
        <v>24</v>
      </c>
      <c r="EH176">
        <v>0</v>
      </c>
      <c r="EI176" t="s">
        <v>3</v>
      </c>
      <c r="EJ176">
        <v>4</v>
      </c>
      <c r="EK176">
        <v>0</v>
      </c>
      <c r="EL176" t="s">
        <v>25</v>
      </c>
      <c r="EM176" t="s">
        <v>26</v>
      </c>
      <c r="EO176" t="s">
        <v>3</v>
      </c>
      <c r="EQ176">
        <v>0</v>
      </c>
      <c r="ER176">
        <v>17064.43</v>
      </c>
      <c r="ES176">
        <v>11305.05</v>
      </c>
      <c r="ET176">
        <v>60.76</v>
      </c>
      <c r="EU176">
        <v>22.23</v>
      </c>
      <c r="EV176">
        <v>5698.62</v>
      </c>
      <c r="EW176">
        <v>30.8</v>
      </c>
      <c r="EX176">
        <v>0</v>
      </c>
      <c r="EY176">
        <v>0</v>
      </c>
      <c r="FQ176">
        <v>0</v>
      </c>
      <c r="FR176">
        <f t="shared" si="187"/>
        <v>0</v>
      </c>
      <c r="FS176">
        <v>0</v>
      </c>
      <c r="FX176">
        <v>70</v>
      </c>
      <c r="FY176">
        <v>10</v>
      </c>
      <c r="GA176" t="s">
        <v>3</v>
      </c>
      <c r="GD176">
        <v>0</v>
      </c>
      <c r="GF176">
        <v>92011487</v>
      </c>
      <c r="GG176">
        <v>2</v>
      </c>
      <c r="GH176">
        <v>1</v>
      </c>
      <c r="GI176">
        <v>-2</v>
      </c>
      <c r="GJ176">
        <v>0</v>
      </c>
      <c r="GK176">
        <f>ROUND(R176*(R12)/100,2)</f>
        <v>102.63</v>
      </c>
      <c r="GL176">
        <f t="shared" si="188"/>
        <v>0</v>
      </c>
      <c r="GM176">
        <f>ROUND(O176+X176+Y176+GK176,2)+GX176</f>
        <v>92542.35</v>
      </c>
      <c r="GN176">
        <f>IF(OR(BI176=0,BI176=1),ROUND(O176+X176+Y176+GK176,2),0)</f>
        <v>0</v>
      </c>
      <c r="GO176">
        <f>IF(BI176=2,ROUND(O176+X176+Y176+GK176,2),0)</f>
        <v>0</v>
      </c>
      <c r="GP176">
        <f>IF(BI176=4,ROUND(O176+X176+Y176+GK176,2)+GX176,0)</f>
        <v>92542.35</v>
      </c>
      <c r="GR176">
        <v>0</v>
      </c>
      <c r="GS176">
        <v>3</v>
      </c>
      <c r="GT176">
        <v>0</v>
      </c>
      <c r="GU176" t="s">
        <v>3</v>
      </c>
      <c r="GV176">
        <f t="shared" si="189"/>
        <v>0</v>
      </c>
      <c r="GW176">
        <v>1</v>
      </c>
      <c r="GX176">
        <f t="shared" si="190"/>
        <v>0</v>
      </c>
      <c r="HA176">
        <v>0</v>
      </c>
      <c r="HB176">
        <v>0</v>
      </c>
      <c r="HC176">
        <f t="shared" si="191"/>
        <v>0</v>
      </c>
      <c r="IK176">
        <v>0</v>
      </c>
    </row>
    <row r="177" spans="1:245" x14ac:dyDescent="0.2">
      <c r="A177">
        <v>17</v>
      </c>
      <c r="B177">
        <v>1</v>
      </c>
      <c r="C177">
        <f>ROW(SmtRes!A95)</f>
        <v>95</v>
      </c>
      <c r="D177">
        <f>ROW(EtalonRes!A93)</f>
        <v>93</v>
      </c>
      <c r="E177" t="s">
        <v>184</v>
      </c>
      <c r="F177" t="s">
        <v>185</v>
      </c>
      <c r="G177" t="s">
        <v>186</v>
      </c>
      <c r="H177" t="s">
        <v>63</v>
      </c>
      <c r="I177">
        <f>ROUND(570*0.25/100,9)</f>
        <v>1.425</v>
      </c>
      <c r="J177">
        <v>0</v>
      </c>
      <c r="O177">
        <f t="shared" si="161"/>
        <v>28237.759999999998</v>
      </c>
      <c r="P177">
        <f t="shared" si="162"/>
        <v>16109.7</v>
      </c>
      <c r="Q177">
        <f t="shared" si="163"/>
        <v>0</v>
      </c>
      <c r="R177">
        <f t="shared" si="164"/>
        <v>0</v>
      </c>
      <c r="S177">
        <f t="shared" si="165"/>
        <v>12128.06</v>
      </c>
      <c r="T177">
        <f t="shared" si="166"/>
        <v>0</v>
      </c>
      <c r="U177">
        <f t="shared" si="167"/>
        <v>65.55</v>
      </c>
      <c r="V177">
        <f t="shared" si="168"/>
        <v>0</v>
      </c>
      <c r="W177">
        <f t="shared" si="169"/>
        <v>0</v>
      </c>
      <c r="X177">
        <f t="shared" si="170"/>
        <v>8489.64</v>
      </c>
      <c r="Y177">
        <f t="shared" si="171"/>
        <v>1212.81</v>
      </c>
      <c r="AA177">
        <v>42184655</v>
      </c>
      <c r="AB177">
        <f t="shared" si="172"/>
        <v>19815.97</v>
      </c>
      <c r="AC177">
        <f>ROUND((ES177),6)</f>
        <v>11305.05</v>
      </c>
      <c r="AD177">
        <f>ROUND((((ET177)-(EU177))+AE177),6)</f>
        <v>0</v>
      </c>
      <c r="AE177">
        <f t="shared" si="192"/>
        <v>0</v>
      </c>
      <c r="AF177">
        <f t="shared" si="192"/>
        <v>8510.92</v>
      </c>
      <c r="AG177">
        <f t="shared" si="174"/>
        <v>0</v>
      </c>
      <c r="AH177">
        <f t="shared" si="193"/>
        <v>46</v>
      </c>
      <c r="AI177">
        <f t="shared" si="193"/>
        <v>0</v>
      </c>
      <c r="AJ177">
        <f t="shared" si="176"/>
        <v>0</v>
      </c>
      <c r="AK177">
        <v>19815.97</v>
      </c>
      <c r="AL177">
        <v>11305.05</v>
      </c>
      <c r="AM177">
        <v>0</v>
      </c>
      <c r="AN177">
        <v>0</v>
      </c>
      <c r="AO177">
        <v>8510.92</v>
      </c>
      <c r="AP177">
        <v>0</v>
      </c>
      <c r="AQ177">
        <v>46</v>
      </c>
      <c r="AR177">
        <v>0</v>
      </c>
      <c r="AS177">
        <v>0</v>
      </c>
      <c r="AT177">
        <v>70</v>
      </c>
      <c r="AU177">
        <v>10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1</v>
      </c>
      <c r="BD177" t="s">
        <v>3</v>
      </c>
      <c r="BE177" t="s">
        <v>3</v>
      </c>
      <c r="BF177" t="s">
        <v>3</v>
      </c>
      <c r="BG177" t="s">
        <v>3</v>
      </c>
      <c r="BH177">
        <v>0</v>
      </c>
      <c r="BI177">
        <v>4</v>
      </c>
      <c r="BJ177" t="s">
        <v>187</v>
      </c>
      <c r="BM177">
        <v>0</v>
      </c>
      <c r="BN177">
        <v>0</v>
      </c>
      <c r="BO177" t="s">
        <v>3</v>
      </c>
      <c r="BP177">
        <v>0</v>
      </c>
      <c r="BQ177">
        <v>1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3</v>
      </c>
      <c r="BZ177">
        <v>70</v>
      </c>
      <c r="CA177">
        <v>10</v>
      </c>
      <c r="CE177">
        <v>0</v>
      </c>
      <c r="CF177">
        <v>0</v>
      </c>
      <c r="CG177">
        <v>0</v>
      </c>
      <c r="CM177">
        <v>0</v>
      </c>
      <c r="CN177" t="s">
        <v>3</v>
      </c>
      <c r="CO177">
        <v>0</v>
      </c>
      <c r="CP177">
        <f t="shared" si="177"/>
        <v>28237.760000000002</v>
      </c>
      <c r="CQ177">
        <f t="shared" si="178"/>
        <v>11305.05</v>
      </c>
      <c r="CR177">
        <f>((((ET177)*BB177-(EU177)*BS177)+AE177*BS177)*AV177)</f>
        <v>0</v>
      </c>
      <c r="CS177">
        <f t="shared" si="179"/>
        <v>0</v>
      </c>
      <c r="CT177">
        <f t="shared" si="180"/>
        <v>8510.92</v>
      </c>
      <c r="CU177">
        <f t="shared" si="181"/>
        <v>0</v>
      </c>
      <c r="CV177">
        <f t="shared" si="182"/>
        <v>46</v>
      </c>
      <c r="CW177">
        <f t="shared" si="183"/>
        <v>0</v>
      </c>
      <c r="CX177">
        <f t="shared" si="184"/>
        <v>0</v>
      </c>
      <c r="CY177">
        <f t="shared" si="185"/>
        <v>8489.6419999999998</v>
      </c>
      <c r="CZ177">
        <f t="shared" si="186"/>
        <v>1212.8059999999998</v>
      </c>
      <c r="DC177" t="s">
        <v>3</v>
      </c>
      <c r="DD177" t="s">
        <v>3</v>
      </c>
      <c r="DE177" t="s">
        <v>3</v>
      </c>
      <c r="DF177" t="s">
        <v>3</v>
      </c>
      <c r="DG177" t="s">
        <v>3</v>
      </c>
      <c r="DH177" t="s">
        <v>3</v>
      </c>
      <c r="DI177" t="s">
        <v>3</v>
      </c>
      <c r="DJ177" t="s">
        <v>3</v>
      </c>
      <c r="DK177" t="s">
        <v>3</v>
      </c>
      <c r="DL177" t="s">
        <v>3</v>
      </c>
      <c r="DM177" t="s">
        <v>3</v>
      </c>
      <c r="DN177">
        <v>0</v>
      </c>
      <c r="DO177">
        <v>0</v>
      </c>
      <c r="DP177">
        <v>1</v>
      </c>
      <c r="DQ177">
        <v>1</v>
      </c>
      <c r="DU177">
        <v>1005</v>
      </c>
      <c r="DV177" t="s">
        <v>63</v>
      </c>
      <c r="DW177" t="s">
        <v>63</v>
      </c>
      <c r="DX177">
        <v>100</v>
      </c>
      <c r="EE177">
        <v>40658659</v>
      </c>
      <c r="EF177">
        <v>1</v>
      </c>
      <c r="EG177" t="s">
        <v>24</v>
      </c>
      <c r="EH177">
        <v>0</v>
      </c>
      <c r="EI177" t="s">
        <v>3</v>
      </c>
      <c r="EJ177">
        <v>4</v>
      </c>
      <c r="EK177">
        <v>0</v>
      </c>
      <c r="EL177" t="s">
        <v>25</v>
      </c>
      <c r="EM177" t="s">
        <v>26</v>
      </c>
      <c r="EO177" t="s">
        <v>3</v>
      </c>
      <c r="EQ177">
        <v>0</v>
      </c>
      <c r="ER177">
        <v>19815.97</v>
      </c>
      <c r="ES177">
        <v>11305.05</v>
      </c>
      <c r="ET177">
        <v>0</v>
      </c>
      <c r="EU177">
        <v>0</v>
      </c>
      <c r="EV177">
        <v>8510.92</v>
      </c>
      <c r="EW177">
        <v>46</v>
      </c>
      <c r="EX177">
        <v>0</v>
      </c>
      <c r="EY177">
        <v>0</v>
      </c>
      <c r="FQ177">
        <v>0</v>
      </c>
      <c r="FR177">
        <f t="shared" si="187"/>
        <v>0</v>
      </c>
      <c r="FS177">
        <v>0</v>
      </c>
      <c r="FX177">
        <v>70</v>
      </c>
      <c r="FY177">
        <v>10</v>
      </c>
      <c r="GA177" t="s">
        <v>3</v>
      </c>
      <c r="GD177">
        <v>0</v>
      </c>
      <c r="GF177">
        <v>14238252</v>
      </c>
      <c r="GG177">
        <v>2</v>
      </c>
      <c r="GH177">
        <v>1</v>
      </c>
      <c r="GI177">
        <v>-2</v>
      </c>
      <c r="GJ177">
        <v>0</v>
      </c>
      <c r="GK177">
        <f>ROUND(R177*(R12)/100,2)</f>
        <v>0</v>
      </c>
      <c r="GL177">
        <f t="shared" si="188"/>
        <v>0</v>
      </c>
      <c r="GM177">
        <f>ROUND(O177+X177+Y177+GK177,2)+GX177</f>
        <v>37940.21</v>
      </c>
      <c r="GN177">
        <f>IF(OR(BI177=0,BI177=1),ROUND(O177+X177+Y177+GK177,2),0)</f>
        <v>0</v>
      </c>
      <c r="GO177">
        <f>IF(BI177=2,ROUND(O177+X177+Y177+GK177,2),0)</f>
        <v>0</v>
      </c>
      <c r="GP177">
        <f>IF(BI177=4,ROUND(O177+X177+Y177+GK177,2)+GX177,0)</f>
        <v>37940.21</v>
      </c>
      <c r="GR177">
        <v>0</v>
      </c>
      <c r="GS177">
        <v>3</v>
      </c>
      <c r="GT177">
        <v>0</v>
      </c>
      <c r="GU177" t="s">
        <v>3</v>
      </c>
      <c r="GV177">
        <f t="shared" si="189"/>
        <v>0</v>
      </c>
      <c r="GW177">
        <v>1</v>
      </c>
      <c r="GX177">
        <f t="shared" si="190"/>
        <v>0</v>
      </c>
      <c r="HA177">
        <v>0</v>
      </c>
      <c r="HB177">
        <v>0</v>
      </c>
      <c r="HC177">
        <f t="shared" si="191"/>
        <v>0</v>
      </c>
      <c r="IK177">
        <v>0</v>
      </c>
    </row>
    <row r="178" spans="1:245" x14ac:dyDescent="0.2">
      <c r="A178">
        <v>17</v>
      </c>
      <c r="B178">
        <v>1</v>
      </c>
      <c r="C178">
        <f>ROW(SmtRes!A97)</f>
        <v>97</v>
      </c>
      <c r="D178">
        <f>ROW(EtalonRes!A95)</f>
        <v>95</v>
      </c>
      <c r="E178" t="s">
        <v>188</v>
      </c>
      <c r="F178" t="s">
        <v>189</v>
      </c>
      <c r="G178" t="s">
        <v>190</v>
      </c>
      <c r="H178" t="s">
        <v>63</v>
      </c>
      <c r="I178">
        <f>ROUND(-570/100,9)</f>
        <v>-5.7</v>
      </c>
      <c r="J178">
        <v>0</v>
      </c>
      <c r="O178">
        <f t="shared" si="161"/>
        <v>-28113.15</v>
      </c>
      <c r="P178">
        <f t="shared" si="162"/>
        <v>-21479.599999999999</v>
      </c>
      <c r="Q178">
        <f t="shared" si="163"/>
        <v>0</v>
      </c>
      <c r="R178">
        <f t="shared" si="164"/>
        <v>0</v>
      </c>
      <c r="S178">
        <f t="shared" si="165"/>
        <v>-6633.55</v>
      </c>
      <c r="T178">
        <f t="shared" si="166"/>
        <v>0</v>
      </c>
      <c r="U178">
        <f t="shared" si="167"/>
        <v>-35.853000000000002</v>
      </c>
      <c r="V178">
        <f t="shared" si="168"/>
        <v>0</v>
      </c>
      <c r="W178">
        <f t="shared" si="169"/>
        <v>0</v>
      </c>
      <c r="X178">
        <f t="shared" si="170"/>
        <v>-4643.49</v>
      </c>
      <c r="Y178">
        <f t="shared" si="171"/>
        <v>-663.36</v>
      </c>
      <c r="AA178">
        <v>42184655</v>
      </c>
      <c r="AB178">
        <f t="shared" si="172"/>
        <v>4932.13</v>
      </c>
      <c r="AC178">
        <f>ROUND((ES178),6)</f>
        <v>3768.35</v>
      </c>
      <c r="AD178">
        <f>ROUND((((ET178)-(EU178))+AE178),6)</f>
        <v>0</v>
      </c>
      <c r="AE178">
        <f t="shared" si="192"/>
        <v>0</v>
      </c>
      <c r="AF178">
        <f t="shared" si="192"/>
        <v>1163.78</v>
      </c>
      <c r="AG178">
        <f t="shared" si="174"/>
        <v>0</v>
      </c>
      <c r="AH178">
        <f t="shared" si="193"/>
        <v>6.29</v>
      </c>
      <c r="AI178">
        <f t="shared" si="193"/>
        <v>0</v>
      </c>
      <c r="AJ178">
        <f t="shared" si="176"/>
        <v>0</v>
      </c>
      <c r="AK178">
        <v>4932.13</v>
      </c>
      <c r="AL178">
        <v>3768.35</v>
      </c>
      <c r="AM178">
        <v>0</v>
      </c>
      <c r="AN178">
        <v>0</v>
      </c>
      <c r="AO178">
        <v>1163.78</v>
      </c>
      <c r="AP178">
        <v>0</v>
      </c>
      <c r="AQ178">
        <v>6.29</v>
      </c>
      <c r="AR178">
        <v>0</v>
      </c>
      <c r="AS178">
        <v>0</v>
      </c>
      <c r="AT178">
        <v>70</v>
      </c>
      <c r="AU178">
        <v>10</v>
      </c>
      <c r="AV178">
        <v>1</v>
      </c>
      <c r="AW178">
        <v>1</v>
      </c>
      <c r="AZ178">
        <v>1</v>
      </c>
      <c r="BA178">
        <v>1</v>
      </c>
      <c r="BB178">
        <v>1</v>
      </c>
      <c r="BC178">
        <v>1</v>
      </c>
      <c r="BD178" t="s">
        <v>3</v>
      </c>
      <c r="BE178" t="s">
        <v>3</v>
      </c>
      <c r="BF178" t="s">
        <v>3</v>
      </c>
      <c r="BG178" t="s">
        <v>3</v>
      </c>
      <c r="BH178">
        <v>0</v>
      </c>
      <c r="BI178">
        <v>4</v>
      </c>
      <c r="BJ178" t="s">
        <v>191</v>
      </c>
      <c r="BM178">
        <v>0</v>
      </c>
      <c r="BN178">
        <v>0</v>
      </c>
      <c r="BO178" t="s">
        <v>3</v>
      </c>
      <c r="BP178">
        <v>0</v>
      </c>
      <c r="BQ178">
        <v>1</v>
      </c>
      <c r="BR178">
        <v>0</v>
      </c>
      <c r="BS178">
        <v>1</v>
      </c>
      <c r="BT178">
        <v>1</v>
      </c>
      <c r="BU178">
        <v>1</v>
      </c>
      <c r="BV178">
        <v>1</v>
      </c>
      <c r="BW178">
        <v>1</v>
      </c>
      <c r="BX178">
        <v>1</v>
      </c>
      <c r="BY178" t="s">
        <v>3</v>
      </c>
      <c r="BZ178">
        <v>70</v>
      </c>
      <c r="CA178">
        <v>10</v>
      </c>
      <c r="CE178">
        <v>0</v>
      </c>
      <c r="CF178">
        <v>0</v>
      </c>
      <c r="CG178">
        <v>0</v>
      </c>
      <c r="CM178">
        <v>0</v>
      </c>
      <c r="CN178" t="s">
        <v>3</v>
      </c>
      <c r="CO178">
        <v>0</v>
      </c>
      <c r="CP178">
        <f t="shared" si="177"/>
        <v>-28113.149999999998</v>
      </c>
      <c r="CQ178">
        <f t="shared" si="178"/>
        <v>3768.35</v>
      </c>
      <c r="CR178">
        <f>((((ET178)*BB178-(EU178)*BS178)+AE178*BS178)*AV178)</f>
        <v>0</v>
      </c>
      <c r="CS178">
        <f t="shared" si="179"/>
        <v>0</v>
      </c>
      <c r="CT178">
        <f t="shared" si="180"/>
        <v>1163.78</v>
      </c>
      <c r="CU178">
        <f t="shared" si="181"/>
        <v>0</v>
      </c>
      <c r="CV178">
        <f t="shared" si="182"/>
        <v>6.29</v>
      </c>
      <c r="CW178">
        <f t="shared" si="183"/>
        <v>0</v>
      </c>
      <c r="CX178">
        <f t="shared" si="184"/>
        <v>0</v>
      </c>
      <c r="CY178">
        <f t="shared" si="185"/>
        <v>-4643.4849999999997</v>
      </c>
      <c r="CZ178">
        <f t="shared" si="186"/>
        <v>-663.35500000000002</v>
      </c>
      <c r="DC178" t="s">
        <v>3</v>
      </c>
      <c r="DD178" t="s">
        <v>3</v>
      </c>
      <c r="DE178" t="s">
        <v>3</v>
      </c>
      <c r="DF178" t="s">
        <v>3</v>
      </c>
      <c r="DG178" t="s">
        <v>3</v>
      </c>
      <c r="DH178" t="s">
        <v>3</v>
      </c>
      <c r="DI178" t="s">
        <v>3</v>
      </c>
      <c r="DJ178" t="s">
        <v>3</v>
      </c>
      <c r="DK178" t="s">
        <v>3</v>
      </c>
      <c r="DL178" t="s">
        <v>3</v>
      </c>
      <c r="DM178" t="s">
        <v>3</v>
      </c>
      <c r="DN178">
        <v>0</v>
      </c>
      <c r="DO178">
        <v>0</v>
      </c>
      <c r="DP178">
        <v>1</v>
      </c>
      <c r="DQ178">
        <v>1</v>
      </c>
      <c r="DU178">
        <v>1005</v>
      </c>
      <c r="DV178" t="s">
        <v>63</v>
      </c>
      <c r="DW178" t="s">
        <v>63</v>
      </c>
      <c r="DX178">
        <v>100</v>
      </c>
      <c r="EE178">
        <v>40658659</v>
      </c>
      <c r="EF178">
        <v>1</v>
      </c>
      <c r="EG178" t="s">
        <v>24</v>
      </c>
      <c r="EH178">
        <v>0</v>
      </c>
      <c r="EI178" t="s">
        <v>3</v>
      </c>
      <c r="EJ178">
        <v>4</v>
      </c>
      <c r="EK178">
        <v>0</v>
      </c>
      <c r="EL178" t="s">
        <v>25</v>
      </c>
      <c r="EM178" t="s">
        <v>26</v>
      </c>
      <c r="EO178" t="s">
        <v>3</v>
      </c>
      <c r="EQ178">
        <v>0</v>
      </c>
      <c r="ER178">
        <v>4932.13</v>
      </c>
      <c r="ES178">
        <v>3768.35</v>
      </c>
      <c r="ET178">
        <v>0</v>
      </c>
      <c r="EU178">
        <v>0</v>
      </c>
      <c r="EV178">
        <v>1163.78</v>
      </c>
      <c r="EW178">
        <v>6.29</v>
      </c>
      <c r="EX178">
        <v>0</v>
      </c>
      <c r="EY178">
        <v>0</v>
      </c>
      <c r="FQ178">
        <v>0</v>
      </c>
      <c r="FR178">
        <f t="shared" si="187"/>
        <v>0</v>
      </c>
      <c r="FS178">
        <v>0</v>
      </c>
      <c r="FX178">
        <v>70</v>
      </c>
      <c r="FY178">
        <v>10</v>
      </c>
      <c r="GA178" t="s">
        <v>3</v>
      </c>
      <c r="GD178">
        <v>0</v>
      </c>
      <c r="GF178">
        <v>-1781441154</v>
      </c>
      <c r="GG178">
        <v>2</v>
      </c>
      <c r="GH178">
        <v>1</v>
      </c>
      <c r="GI178">
        <v>-2</v>
      </c>
      <c r="GJ178">
        <v>0</v>
      </c>
      <c r="GK178">
        <f>ROUND(R178*(R12)/100,2)</f>
        <v>0</v>
      </c>
      <c r="GL178">
        <f t="shared" si="188"/>
        <v>0</v>
      </c>
      <c r="GM178">
        <f>ROUND(O178+X178+Y178+GK178,2)+GX178</f>
        <v>-33420</v>
      </c>
      <c r="GN178">
        <f>IF(OR(BI178=0,BI178=1),ROUND(O178+X178+Y178+GK178,2),0)</f>
        <v>0</v>
      </c>
      <c r="GO178">
        <f>IF(BI178=2,ROUND(O178+X178+Y178+GK178,2),0)</f>
        <v>0</v>
      </c>
      <c r="GP178">
        <f>IF(BI178=4,ROUND(O178+X178+Y178+GK178,2)+GX178,0)</f>
        <v>-33420</v>
      </c>
      <c r="GR178">
        <v>0</v>
      </c>
      <c r="GS178">
        <v>3</v>
      </c>
      <c r="GT178">
        <v>0</v>
      </c>
      <c r="GU178" t="s">
        <v>3</v>
      </c>
      <c r="GV178">
        <f t="shared" si="189"/>
        <v>0</v>
      </c>
      <c r="GW178">
        <v>1</v>
      </c>
      <c r="GX178">
        <f t="shared" si="190"/>
        <v>0</v>
      </c>
      <c r="HA178">
        <v>0</v>
      </c>
      <c r="HB178">
        <v>0</v>
      </c>
      <c r="HC178">
        <f t="shared" si="191"/>
        <v>0</v>
      </c>
      <c r="IK178">
        <v>0</v>
      </c>
    </row>
    <row r="179" spans="1:245" x14ac:dyDescent="0.2">
      <c r="A179">
        <v>17</v>
      </c>
      <c r="B179">
        <v>1</v>
      </c>
      <c r="C179">
        <f>ROW(SmtRes!A100)</f>
        <v>100</v>
      </c>
      <c r="D179">
        <f>ROW(EtalonRes!A98)</f>
        <v>98</v>
      </c>
      <c r="E179" t="s">
        <v>192</v>
      </c>
      <c r="F179" t="s">
        <v>193</v>
      </c>
      <c r="G179" t="s">
        <v>194</v>
      </c>
      <c r="H179" t="s">
        <v>63</v>
      </c>
      <c r="I179">
        <f>ROUND(570/100,9)</f>
        <v>5.7</v>
      </c>
      <c r="J179">
        <v>0</v>
      </c>
      <c r="O179">
        <f t="shared" si="161"/>
        <v>15879.69</v>
      </c>
      <c r="P179">
        <f t="shared" si="162"/>
        <v>8919.7000000000007</v>
      </c>
      <c r="Q179">
        <f t="shared" si="163"/>
        <v>0</v>
      </c>
      <c r="R179">
        <f t="shared" si="164"/>
        <v>0</v>
      </c>
      <c r="S179">
        <f t="shared" si="165"/>
        <v>6959.99</v>
      </c>
      <c r="T179">
        <f t="shared" si="166"/>
        <v>0</v>
      </c>
      <c r="U179">
        <f t="shared" si="167"/>
        <v>34.428000000000004</v>
      </c>
      <c r="V179">
        <f t="shared" si="168"/>
        <v>0</v>
      </c>
      <c r="W179">
        <f t="shared" si="169"/>
        <v>0</v>
      </c>
      <c r="X179">
        <f t="shared" si="170"/>
        <v>4871.99</v>
      </c>
      <c r="Y179">
        <f t="shared" si="171"/>
        <v>696</v>
      </c>
      <c r="AA179">
        <v>42184655</v>
      </c>
      <c r="AB179">
        <f t="shared" si="172"/>
        <v>2785.91</v>
      </c>
      <c r="AC179">
        <f>ROUND((ES179),6)</f>
        <v>1564.86</v>
      </c>
      <c r="AD179">
        <f>ROUND((((ET179)-(EU179))+AE179),6)</f>
        <v>0</v>
      </c>
      <c r="AE179">
        <f t="shared" si="192"/>
        <v>0</v>
      </c>
      <c r="AF179">
        <f t="shared" si="192"/>
        <v>1221.05</v>
      </c>
      <c r="AG179">
        <f t="shared" si="174"/>
        <v>0</v>
      </c>
      <c r="AH179">
        <f t="shared" si="193"/>
        <v>6.04</v>
      </c>
      <c r="AI179">
        <f t="shared" si="193"/>
        <v>0</v>
      </c>
      <c r="AJ179">
        <f t="shared" si="176"/>
        <v>0</v>
      </c>
      <c r="AK179">
        <v>2785.91</v>
      </c>
      <c r="AL179">
        <v>1564.86</v>
      </c>
      <c r="AM179">
        <v>0</v>
      </c>
      <c r="AN179">
        <v>0</v>
      </c>
      <c r="AO179">
        <v>1221.05</v>
      </c>
      <c r="AP179">
        <v>0</v>
      </c>
      <c r="AQ179">
        <v>6.04</v>
      </c>
      <c r="AR179">
        <v>0</v>
      </c>
      <c r="AS179">
        <v>0</v>
      </c>
      <c r="AT179">
        <v>70</v>
      </c>
      <c r="AU179">
        <v>10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1</v>
      </c>
      <c r="BD179" t="s">
        <v>3</v>
      </c>
      <c r="BE179" t="s">
        <v>3</v>
      </c>
      <c r="BF179" t="s">
        <v>3</v>
      </c>
      <c r="BG179" t="s">
        <v>3</v>
      </c>
      <c r="BH179">
        <v>0</v>
      </c>
      <c r="BI179">
        <v>4</v>
      </c>
      <c r="BJ179" t="s">
        <v>195</v>
      </c>
      <c r="BM179">
        <v>0</v>
      </c>
      <c r="BN179">
        <v>0</v>
      </c>
      <c r="BO179" t="s">
        <v>3</v>
      </c>
      <c r="BP179">
        <v>0</v>
      </c>
      <c r="BQ179">
        <v>1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3</v>
      </c>
      <c r="BZ179">
        <v>70</v>
      </c>
      <c r="CA179">
        <v>10</v>
      </c>
      <c r="CE179">
        <v>0</v>
      </c>
      <c r="CF179">
        <v>0</v>
      </c>
      <c r="CG179">
        <v>0</v>
      </c>
      <c r="CM179">
        <v>0</v>
      </c>
      <c r="CN179" t="s">
        <v>3</v>
      </c>
      <c r="CO179">
        <v>0</v>
      </c>
      <c r="CP179">
        <f t="shared" si="177"/>
        <v>15879.69</v>
      </c>
      <c r="CQ179">
        <f t="shared" si="178"/>
        <v>1564.86</v>
      </c>
      <c r="CR179">
        <f>((((ET179)*BB179-(EU179)*BS179)+AE179*BS179)*AV179)</f>
        <v>0</v>
      </c>
      <c r="CS179">
        <f t="shared" si="179"/>
        <v>0</v>
      </c>
      <c r="CT179">
        <f t="shared" si="180"/>
        <v>1221.05</v>
      </c>
      <c r="CU179">
        <f t="shared" si="181"/>
        <v>0</v>
      </c>
      <c r="CV179">
        <f t="shared" si="182"/>
        <v>6.04</v>
      </c>
      <c r="CW179">
        <f t="shared" si="183"/>
        <v>0</v>
      </c>
      <c r="CX179">
        <f t="shared" si="184"/>
        <v>0</v>
      </c>
      <c r="CY179">
        <f t="shared" si="185"/>
        <v>4871.9929999999995</v>
      </c>
      <c r="CZ179">
        <f t="shared" si="186"/>
        <v>695.99899999999991</v>
      </c>
      <c r="DC179" t="s">
        <v>3</v>
      </c>
      <c r="DD179" t="s">
        <v>3</v>
      </c>
      <c r="DE179" t="s">
        <v>3</v>
      </c>
      <c r="DF179" t="s">
        <v>3</v>
      </c>
      <c r="DG179" t="s">
        <v>3</v>
      </c>
      <c r="DH179" t="s">
        <v>3</v>
      </c>
      <c r="DI179" t="s">
        <v>3</v>
      </c>
      <c r="DJ179" t="s">
        <v>3</v>
      </c>
      <c r="DK179" t="s">
        <v>3</v>
      </c>
      <c r="DL179" t="s">
        <v>3</v>
      </c>
      <c r="DM179" t="s">
        <v>3</v>
      </c>
      <c r="DN179">
        <v>0</v>
      </c>
      <c r="DO179">
        <v>0</v>
      </c>
      <c r="DP179">
        <v>1</v>
      </c>
      <c r="DQ179">
        <v>1</v>
      </c>
      <c r="DU179">
        <v>1005</v>
      </c>
      <c r="DV179" t="s">
        <v>63</v>
      </c>
      <c r="DW179" t="s">
        <v>63</v>
      </c>
      <c r="DX179">
        <v>100</v>
      </c>
      <c r="EE179">
        <v>40658659</v>
      </c>
      <c r="EF179">
        <v>1</v>
      </c>
      <c r="EG179" t="s">
        <v>24</v>
      </c>
      <c r="EH179">
        <v>0</v>
      </c>
      <c r="EI179" t="s">
        <v>3</v>
      </c>
      <c r="EJ179">
        <v>4</v>
      </c>
      <c r="EK179">
        <v>0</v>
      </c>
      <c r="EL179" t="s">
        <v>25</v>
      </c>
      <c r="EM179" t="s">
        <v>26</v>
      </c>
      <c r="EO179" t="s">
        <v>3</v>
      </c>
      <c r="EQ179">
        <v>0</v>
      </c>
      <c r="ER179">
        <v>2785.91</v>
      </c>
      <c r="ES179">
        <v>1564.86</v>
      </c>
      <c r="ET179">
        <v>0</v>
      </c>
      <c r="EU179">
        <v>0</v>
      </c>
      <c r="EV179">
        <v>1221.05</v>
      </c>
      <c r="EW179">
        <v>6.04</v>
      </c>
      <c r="EX179">
        <v>0</v>
      </c>
      <c r="EY179">
        <v>0</v>
      </c>
      <c r="FQ179">
        <v>0</v>
      </c>
      <c r="FR179">
        <f t="shared" si="187"/>
        <v>0</v>
      </c>
      <c r="FS179">
        <v>0</v>
      </c>
      <c r="FX179">
        <v>70</v>
      </c>
      <c r="FY179">
        <v>10</v>
      </c>
      <c r="GA179" t="s">
        <v>3</v>
      </c>
      <c r="GD179">
        <v>0</v>
      </c>
      <c r="GF179">
        <v>2120516223</v>
      </c>
      <c r="GG179">
        <v>2</v>
      </c>
      <c r="GH179">
        <v>1</v>
      </c>
      <c r="GI179">
        <v>-2</v>
      </c>
      <c r="GJ179">
        <v>0</v>
      </c>
      <c r="GK179">
        <f>ROUND(R179*(R12)/100,2)</f>
        <v>0</v>
      </c>
      <c r="GL179">
        <f t="shared" si="188"/>
        <v>0</v>
      </c>
      <c r="GM179">
        <f>ROUND(O179+X179+Y179+GK179,2)+GX179</f>
        <v>21447.68</v>
      </c>
      <c r="GN179">
        <f>IF(OR(BI179=0,BI179=1),ROUND(O179+X179+Y179+GK179,2),0)</f>
        <v>0</v>
      </c>
      <c r="GO179">
        <f>IF(BI179=2,ROUND(O179+X179+Y179+GK179,2),0)</f>
        <v>0</v>
      </c>
      <c r="GP179">
        <f>IF(BI179=4,ROUND(O179+X179+Y179+GK179,2)+GX179,0)</f>
        <v>21447.68</v>
      </c>
      <c r="GR179">
        <v>0</v>
      </c>
      <c r="GS179">
        <v>3</v>
      </c>
      <c r="GT179">
        <v>0</v>
      </c>
      <c r="GU179" t="s">
        <v>3</v>
      </c>
      <c r="GV179">
        <f t="shared" si="189"/>
        <v>0</v>
      </c>
      <c r="GW179">
        <v>1</v>
      </c>
      <c r="GX179">
        <f t="shared" si="190"/>
        <v>0</v>
      </c>
      <c r="HA179">
        <v>0</v>
      </c>
      <c r="HB179">
        <v>0</v>
      </c>
      <c r="HC179">
        <f t="shared" si="191"/>
        <v>0</v>
      </c>
      <c r="IK179">
        <v>0</v>
      </c>
    </row>
    <row r="181" spans="1:245" x14ac:dyDescent="0.2">
      <c r="A181" s="2">
        <v>51</v>
      </c>
      <c r="B181" s="2">
        <f>B166</f>
        <v>1</v>
      </c>
      <c r="C181" s="2">
        <f>A166</f>
        <v>4</v>
      </c>
      <c r="D181" s="2">
        <f>ROW(A166)</f>
        <v>166</v>
      </c>
      <c r="E181" s="2"/>
      <c r="F181" s="2" t="str">
        <f>IF(F166&lt;&gt;"",F166,"")</f>
        <v>Новый раздел</v>
      </c>
      <c r="G181" s="2" t="str">
        <f>IF(G166&lt;&gt;"",G166,"")</f>
        <v>Раздел 20.2 Ремонт газона (посевной) 10см</v>
      </c>
      <c r="H181" s="2">
        <v>0</v>
      </c>
      <c r="I181" s="2"/>
      <c r="J181" s="2"/>
      <c r="K181" s="2"/>
      <c r="L181" s="2"/>
      <c r="M181" s="2"/>
      <c r="N181" s="2"/>
      <c r="O181" s="2">
        <f t="shared" ref="O181:T181" si="194">ROUND(AB181,2)</f>
        <v>151772.17000000001</v>
      </c>
      <c r="P181" s="2">
        <f t="shared" si="194"/>
        <v>59882.83</v>
      </c>
      <c r="Q181" s="2">
        <f t="shared" si="194"/>
        <v>54847.63</v>
      </c>
      <c r="R181" s="2">
        <f t="shared" si="194"/>
        <v>28981.23</v>
      </c>
      <c r="S181" s="2">
        <f t="shared" si="194"/>
        <v>37041.71</v>
      </c>
      <c r="T181" s="2">
        <f t="shared" si="194"/>
        <v>0</v>
      </c>
      <c r="U181" s="2">
        <f>AH181</f>
        <v>197.16533700000002</v>
      </c>
      <c r="V181" s="2">
        <f>AI181</f>
        <v>0</v>
      </c>
      <c r="W181" s="2">
        <f>ROUND(AJ181,2)</f>
        <v>0</v>
      </c>
      <c r="X181" s="2">
        <f>ROUND(AK181,2)</f>
        <v>25929.19</v>
      </c>
      <c r="Y181" s="2">
        <f>ROUND(AL181,2)</f>
        <v>3704.16</v>
      </c>
      <c r="Z181" s="2"/>
      <c r="AA181" s="2"/>
      <c r="AB181" s="2">
        <f>ROUND(SUMIF(AA170:AA179,"=42184655",O170:O179),2)</f>
        <v>151772.17000000001</v>
      </c>
      <c r="AC181" s="2">
        <f>ROUND(SUMIF(AA170:AA179,"=42184655",P170:P179),2)</f>
        <v>59882.83</v>
      </c>
      <c r="AD181" s="2">
        <f>ROUND(SUMIF(AA170:AA179,"=42184655",Q170:Q179),2)</f>
        <v>54847.63</v>
      </c>
      <c r="AE181" s="2">
        <f>ROUND(SUMIF(AA170:AA179,"=42184655",R170:R179),2)</f>
        <v>28981.23</v>
      </c>
      <c r="AF181" s="2">
        <f>ROUND(SUMIF(AA170:AA179,"=42184655",S170:S179),2)</f>
        <v>37041.71</v>
      </c>
      <c r="AG181" s="2">
        <f>ROUND(SUMIF(AA170:AA179,"=42184655",T170:T179),2)</f>
        <v>0</v>
      </c>
      <c r="AH181" s="2">
        <f>SUMIF(AA170:AA179,"=42184655",U170:U179)</f>
        <v>197.16533700000002</v>
      </c>
      <c r="AI181" s="2">
        <f>SUMIF(AA170:AA179,"=42184655",V170:V179)</f>
        <v>0</v>
      </c>
      <c r="AJ181" s="2">
        <f>ROUND(SUMIF(AA170:AA179,"=42184655",W170:W179),2)</f>
        <v>0</v>
      </c>
      <c r="AK181" s="2">
        <f>ROUND(SUMIF(AA170:AA179,"=42184655",X170:X179),2)</f>
        <v>25929.19</v>
      </c>
      <c r="AL181" s="2">
        <f>ROUND(SUMIF(AA170:AA179,"=42184655",Y170:Y179),2)</f>
        <v>3704.16</v>
      </c>
      <c r="AM181" s="2"/>
      <c r="AN181" s="2"/>
      <c r="AO181" s="2">
        <f t="shared" ref="AO181:BC181" si="195">ROUND(BX181,2)</f>
        <v>0</v>
      </c>
      <c r="AP181" s="2">
        <f t="shared" si="195"/>
        <v>0</v>
      </c>
      <c r="AQ181" s="2">
        <f t="shared" si="195"/>
        <v>0</v>
      </c>
      <c r="AR181" s="2">
        <f t="shared" si="195"/>
        <v>183600.91</v>
      </c>
      <c r="AS181" s="2">
        <f t="shared" si="195"/>
        <v>8003.94</v>
      </c>
      <c r="AT181" s="2">
        <f t="shared" si="195"/>
        <v>0</v>
      </c>
      <c r="AU181" s="2">
        <f t="shared" si="195"/>
        <v>175596.97</v>
      </c>
      <c r="AV181" s="2">
        <f t="shared" si="195"/>
        <v>59882.83</v>
      </c>
      <c r="AW181" s="2">
        <f t="shared" si="195"/>
        <v>59882.83</v>
      </c>
      <c r="AX181" s="2">
        <f t="shared" si="195"/>
        <v>0</v>
      </c>
      <c r="AY181" s="2">
        <f t="shared" si="195"/>
        <v>59882.83</v>
      </c>
      <c r="AZ181" s="2">
        <f t="shared" si="195"/>
        <v>0</v>
      </c>
      <c r="BA181" s="2">
        <f t="shared" si="195"/>
        <v>0</v>
      </c>
      <c r="BB181" s="2">
        <f t="shared" si="195"/>
        <v>0</v>
      </c>
      <c r="BC181" s="2">
        <f t="shared" si="195"/>
        <v>0</v>
      </c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>
        <f>ROUND(SUMIF(AA170:AA179,"=42184655",FQ170:FQ179),2)</f>
        <v>0</v>
      </c>
      <c r="BY181" s="2">
        <f>ROUND(SUMIF(AA170:AA179,"=42184655",FR170:FR179),2)</f>
        <v>0</v>
      </c>
      <c r="BZ181" s="2">
        <f>ROUND(SUMIF(AA170:AA179,"=42184655",GL170:GL179),2)</f>
        <v>0</v>
      </c>
      <c r="CA181" s="2">
        <f>ROUND(SUMIF(AA170:AA179,"=42184655",GM170:GM179),2)</f>
        <v>183600.91</v>
      </c>
      <c r="CB181" s="2">
        <f>ROUND(SUMIF(AA170:AA179,"=42184655",GN170:GN179),2)</f>
        <v>8003.94</v>
      </c>
      <c r="CC181" s="2">
        <f>ROUND(SUMIF(AA170:AA179,"=42184655",GO170:GO179),2)</f>
        <v>0</v>
      </c>
      <c r="CD181" s="2">
        <f>ROUND(SUMIF(AA170:AA179,"=42184655",GP170:GP179),2)</f>
        <v>175596.97</v>
      </c>
      <c r="CE181" s="2">
        <f>AC181-BX181</f>
        <v>59882.83</v>
      </c>
      <c r="CF181" s="2">
        <f>AC181-BY181</f>
        <v>59882.83</v>
      </c>
      <c r="CG181" s="2">
        <f>BX181-BZ181</f>
        <v>0</v>
      </c>
      <c r="CH181" s="2">
        <f>AC181-BX181-BY181+BZ181</f>
        <v>59882.83</v>
      </c>
      <c r="CI181" s="2">
        <f>BY181-BZ181</f>
        <v>0</v>
      </c>
      <c r="CJ181" s="2">
        <f>ROUND(SUMIF(AA170:AA179,"=42184655",GX170:GX179),2)</f>
        <v>0</v>
      </c>
      <c r="CK181" s="2">
        <f>ROUND(SUMIF(AA170:AA179,"=42184655",GY170:GY179),2)</f>
        <v>0</v>
      </c>
      <c r="CL181" s="2">
        <f>ROUND(SUMIF(AA170:AA179,"=42184655",GZ170:GZ179),2)</f>
        <v>0</v>
      </c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>
        <v>0</v>
      </c>
    </row>
    <row r="183" spans="1:245" x14ac:dyDescent="0.2">
      <c r="A183" s="4">
        <v>50</v>
      </c>
      <c r="B183" s="4">
        <v>0</v>
      </c>
      <c r="C183" s="4">
        <v>0</v>
      </c>
      <c r="D183" s="4">
        <v>1</v>
      </c>
      <c r="E183" s="4">
        <v>201</v>
      </c>
      <c r="F183" s="4">
        <f>ROUND(Source!O181,O183)</f>
        <v>151772.17000000001</v>
      </c>
      <c r="G183" s="4" t="s">
        <v>71</v>
      </c>
      <c r="H183" s="4" t="s">
        <v>72</v>
      </c>
      <c r="I183" s="4"/>
      <c r="J183" s="4"/>
      <c r="K183" s="4">
        <v>201</v>
      </c>
      <c r="L183" s="4">
        <v>1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45" x14ac:dyDescent="0.2">
      <c r="A184" s="4">
        <v>50</v>
      </c>
      <c r="B184" s="4">
        <v>0</v>
      </c>
      <c r="C184" s="4">
        <v>0</v>
      </c>
      <c r="D184" s="4">
        <v>1</v>
      </c>
      <c r="E184" s="4">
        <v>202</v>
      </c>
      <c r="F184" s="4">
        <f>ROUND(Source!P181,O184)</f>
        <v>59882.83</v>
      </c>
      <c r="G184" s="4" t="s">
        <v>73</v>
      </c>
      <c r="H184" s="4" t="s">
        <v>74</v>
      </c>
      <c r="I184" s="4"/>
      <c r="J184" s="4"/>
      <c r="K184" s="4">
        <v>202</v>
      </c>
      <c r="L184" s="4">
        <v>2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45" x14ac:dyDescent="0.2">
      <c r="A185" s="4">
        <v>50</v>
      </c>
      <c r="B185" s="4">
        <v>0</v>
      </c>
      <c r="C185" s="4">
        <v>0</v>
      </c>
      <c r="D185" s="4">
        <v>1</v>
      </c>
      <c r="E185" s="4">
        <v>222</v>
      </c>
      <c r="F185" s="4">
        <f>ROUND(Source!AO181,O185)</f>
        <v>0</v>
      </c>
      <c r="G185" s="4" t="s">
        <v>75</v>
      </c>
      <c r="H185" s="4" t="s">
        <v>76</v>
      </c>
      <c r="I185" s="4"/>
      <c r="J185" s="4"/>
      <c r="K185" s="4">
        <v>222</v>
      </c>
      <c r="L185" s="4">
        <v>3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45" x14ac:dyDescent="0.2">
      <c r="A186" s="4">
        <v>50</v>
      </c>
      <c r="B186" s="4">
        <v>0</v>
      </c>
      <c r="C186" s="4">
        <v>0</v>
      </c>
      <c r="D186" s="4">
        <v>1</v>
      </c>
      <c r="E186" s="4">
        <v>225</v>
      </c>
      <c r="F186" s="4">
        <f>ROUND(Source!AV181,O186)</f>
        <v>59882.83</v>
      </c>
      <c r="G186" s="4" t="s">
        <v>77</v>
      </c>
      <c r="H186" s="4" t="s">
        <v>78</v>
      </c>
      <c r="I186" s="4"/>
      <c r="J186" s="4"/>
      <c r="K186" s="4">
        <v>225</v>
      </c>
      <c r="L186" s="4">
        <v>4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45" x14ac:dyDescent="0.2">
      <c r="A187" s="4">
        <v>50</v>
      </c>
      <c r="B187" s="4">
        <v>0</v>
      </c>
      <c r="C187" s="4">
        <v>0</v>
      </c>
      <c r="D187" s="4">
        <v>1</v>
      </c>
      <c r="E187" s="4">
        <v>226</v>
      </c>
      <c r="F187" s="4">
        <f>ROUND(Source!AW181,O187)</f>
        <v>59882.83</v>
      </c>
      <c r="G187" s="4" t="s">
        <v>79</v>
      </c>
      <c r="H187" s="4" t="s">
        <v>80</v>
      </c>
      <c r="I187" s="4"/>
      <c r="J187" s="4"/>
      <c r="K187" s="4">
        <v>226</v>
      </c>
      <c r="L187" s="4">
        <v>5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45" x14ac:dyDescent="0.2">
      <c r="A188" s="4">
        <v>50</v>
      </c>
      <c r="B188" s="4">
        <v>0</v>
      </c>
      <c r="C188" s="4">
        <v>0</v>
      </c>
      <c r="D188" s="4">
        <v>1</v>
      </c>
      <c r="E188" s="4">
        <v>227</v>
      </c>
      <c r="F188" s="4">
        <f>ROUND(Source!AX181,O188)</f>
        <v>0</v>
      </c>
      <c r="G188" s="4" t="s">
        <v>81</v>
      </c>
      <c r="H188" s="4" t="s">
        <v>82</v>
      </c>
      <c r="I188" s="4"/>
      <c r="J188" s="4"/>
      <c r="K188" s="4">
        <v>227</v>
      </c>
      <c r="L188" s="4">
        <v>6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45" x14ac:dyDescent="0.2">
      <c r="A189" s="4">
        <v>50</v>
      </c>
      <c r="B189" s="4">
        <v>0</v>
      </c>
      <c r="C189" s="4">
        <v>0</v>
      </c>
      <c r="D189" s="4">
        <v>1</v>
      </c>
      <c r="E189" s="4">
        <v>228</v>
      </c>
      <c r="F189" s="4">
        <f>ROUND(Source!AY181,O189)</f>
        <v>59882.83</v>
      </c>
      <c r="G189" s="4" t="s">
        <v>83</v>
      </c>
      <c r="H189" s="4" t="s">
        <v>84</v>
      </c>
      <c r="I189" s="4"/>
      <c r="J189" s="4"/>
      <c r="K189" s="4">
        <v>228</v>
      </c>
      <c r="L189" s="4">
        <v>7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45" x14ac:dyDescent="0.2">
      <c r="A190" s="4">
        <v>50</v>
      </c>
      <c r="B190" s="4">
        <v>0</v>
      </c>
      <c r="C190" s="4">
        <v>0</v>
      </c>
      <c r="D190" s="4">
        <v>1</v>
      </c>
      <c r="E190" s="4">
        <v>216</v>
      </c>
      <c r="F190" s="4">
        <f>ROUND(Source!AP181,O190)</f>
        <v>0</v>
      </c>
      <c r="G190" s="4" t="s">
        <v>85</v>
      </c>
      <c r="H190" s="4" t="s">
        <v>86</v>
      </c>
      <c r="I190" s="4"/>
      <c r="J190" s="4"/>
      <c r="K190" s="4">
        <v>216</v>
      </c>
      <c r="L190" s="4">
        <v>8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45" x14ac:dyDescent="0.2">
      <c r="A191" s="4">
        <v>50</v>
      </c>
      <c r="B191" s="4">
        <v>0</v>
      </c>
      <c r="C191" s="4">
        <v>0</v>
      </c>
      <c r="D191" s="4">
        <v>1</v>
      </c>
      <c r="E191" s="4">
        <v>223</v>
      </c>
      <c r="F191" s="4">
        <f>ROUND(Source!AQ181,O191)</f>
        <v>0</v>
      </c>
      <c r="G191" s="4" t="s">
        <v>87</v>
      </c>
      <c r="H191" s="4" t="s">
        <v>88</v>
      </c>
      <c r="I191" s="4"/>
      <c r="J191" s="4"/>
      <c r="K191" s="4">
        <v>223</v>
      </c>
      <c r="L191" s="4">
        <v>9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45" x14ac:dyDescent="0.2">
      <c r="A192" s="4">
        <v>50</v>
      </c>
      <c r="B192" s="4">
        <v>0</v>
      </c>
      <c r="C192" s="4">
        <v>0</v>
      </c>
      <c r="D192" s="4">
        <v>1</v>
      </c>
      <c r="E192" s="4">
        <v>229</v>
      </c>
      <c r="F192" s="4">
        <f>ROUND(Source!AZ181,O192)</f>
        <v>0</v>
      </c>
      <c r="G192" s="4" t="s">
        <v>89</v>
      </c>
      <c r="H192" s="4" t="s">
        <v>90</v>
      </c>
      <c r="I192" s="4"/>
      <c r="J192" s="4"/>
      <c r="K192" s="4">
        <v>229</v>
      </c>
      <c r="L192" s="4">
        <v>10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203</v>
      </c>
      <c r="F193" s="4">
        <f>ROUND(Source!Q181,O193)</f>
        <v>54847.63</v>
      </c>
      <c r="G193" s="4" t="s">
        <v>91</v>
      </c>
      <c r="H193" s="4" t="s">
        <v>92</v>
      </c>
      <c r="I193" s="4"/>
      <c r="J193" s="4"/>
      <c r="K193" s="4">
        <v>203</v>
      </c>
      <c r="L193" s="4">
        <v>11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231</v>
      </c>
      <c r="F194" s="4">
        <f>ROUND(Source!BB181,O194)</f>
        <v>0</v>
      </c>
      <c r="G194" s="4" t="s">
        <v>93</v>
      </c>
      <c r="H194" s="4" t="s">
        <v>94</v>
      </c>
      <c r="I194" s="4"/>
      <c r="J194" s="4"/>
      <c r="K194" s="4">
        <v>231</v>
      </c>
      <c r="L194" s="4">
        <v>12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204</v>
      </c>
      <c r="F195" s="4">
        <f>ROUND(Source!R181,O195)</f>
        <v>28981.23</v>
      </c>
      <c r="G195" s="4" t="s">
        <v>95</v>
      </c>
      <c r="H195" s="4" t="s">
        <v>96</v>
      </c>
      <c r="I195" s="4"/>
      <c r="J195" s="4"/>
      <c r="K195" s="4">
        <v>204</v>
      </c>
      <c r="L195" s="4">
        <v>13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205</v>
      </c>
      <c r="F196" s="4">
        <f>ROUND(Source!S181,O196)</f>
        <v>37041.71</v>
      </c>
      <c r="G196" s="4" t="s">
        <v>97</v>
      </c>
      <c r="H196" s="4" t="s">
        <v>98</v>
      </c>
      <c r="I196" s="4"/>
      <c r="J196" s="4"/>
      <c r="K196" s="4">
        <v>205</v>
      </c>
      <c r="L196" s="4">
        <v>14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232</v>
      </c>
      <c r="F197" s="4">
        <f>ROUND(Source!BC181,O197)</f>
        <v>0</v>
      </c>
      <c r="G197" s="4" t="s">
        <v>99</v>
      </c>
      <c r="H197" s="4" t="s">
        <v>100</v>
      </c>
      <c r="I197" s="4"/>
      <c r="J197" s="4"/>
      <c r="K197" s="4">
        <v>232</v>
      </c>
      <c r="L197" s="4">
        <v>15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214</v>
      </c>
      <c r="F198" s="4">
        <f>ROUND(Source!AS181,O198)</f>
        <v>8003.94</v>
      </c>
      <c r="G198" s="4" t="s">
        <v>101</v>
      </c>
      <c r="H198" s="4" t="s">
        <v>102</v>
      </c>
      <c r="I198" s="4"/>
      <c r="J198" s="4"/>
      <c r="K198" s="4">
        <v>214</v>
      </c>
      <c r="L198" s="4">
        <v>16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215</v>
      </c>
      <c r="F199" s="4">
        <f>ROUND(Source!AT181,O199)</f>
        <v>0</v>
      </c>
      <c r="G199" s="4" t="s">
        <v>103</v>
      </c>
      <c r="H199" s="4" t="s">
        <v>104</v>
      </c>
      <c r="I199" s="4"/>
      <c r="J199" s="4"/>
      <c r="K199" s="4">
        <v>215</v>
      </c>
      <c r="L199" s="4">
        <v>17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217</v>
      </c>
      <c r="F200" s="4">
        <f>ROUND(Source!AU181,O200)</f>
        <v>175596.97</v>
      </c>
      <c r="G200" s="4" t="s">
        <v>105</v>
      </c>
      <c r="H200" s="4" t="s">
        <v>106</v>
      </c>
      <c r="I200" s="4"/>
      <c r="J200" s="4"/>
      <c r="K200" s="4">
        <v>217</v>
      </c>
      <c r="L200" s="4">
        <v>18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230</v>
      </c>
      <c r="F201" s="4">
        <f>ROUND(Source!BA181,O201)</f>
        <v>0</v>
      </c>
      <c r="G201" s="4" t="s">
        <v>107</v>
      </c>
      <c r="H201" s="4" t="s">
        <v>108</v>
      </c>
      <c r="I201" s="4"/>
      <c r="J201" s="4"/>
      <c r="K201" s="4">
        <v>230</v>
      </c>
      <c r="L201" s="4">
        <v>19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206</v>
      </c>
      <c r="F202" s="4">
        <f>ROUND(Source!T181,O202)</f>
        <v>0</v>
      </c>
      <c r="G202" s="4" t="s">
        <v>109</v>
      </c>
      <c r="H202" s="4" t="s">
        <v>110</v>
      </c>
      <c r="I202" s="4"/>
      <c r="J202" s="4"/>
      <c r="K202" s="4">
        <v>206</v>
      </c>
      <c r="L202" s="4">
        <v>20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207</v>
      </c>
      <c r="F203" s="4">
        <f>Source!U181</f>
        <v>197.16533700000002</v>
      </c>
      <c r="G203" s="4" t="s">
        <v>111</v>
      </c>
      <c r="H203" s="4" t="s">
        <v>112</v>
      </c>
      <c r="I203" s="4"/>
      <c r="J203" s="4"/>
      <c r="K203" s="4">
        <v>207</v>
      </c>
      <c r="L203" s="4">
        <v>21</v>
      </c>
      <c r="M203" s="4">
        <v>3</v>
      </c>
      <c r="N203" s="4" t="s">
        <v>3</v>
      </c>
      <c r="O203" s="4">
        <v>-1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208</v>
      </c>
      <c r="F204" s="4">
        <f>Source!V181</f>
        <v>0</v>
      </c>
      <c r="G204" s="4" t="s">
        <v>113</v>
      </c>
      <c r="H204" s="4" t="s">
        <v>114</v>
      </c>
      <c r="I204" s="4"/>
      <c r="J204" s="4"/>
      <c r="K204" s="4">
        <v>208</v>
      </c>
      <c r="L204" s="4">
        <v>22</v>
      </c>
      <c r="M204" s="4">
        <v>3</v>
      </c>
      <c r="N204" s="4" t="s">
        <v>3</v>
      </c>
      <c r="O204" s="4">
        <v>-1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209</v>
      </c>
      <c r="F205" s="4">
        <f>ROUND(Source!W181,O205)</f>
        <v>0</v>
      </c>
      <c r="G205" s="4" t="s">
        <v>115</v>
      </c>
      <c r="H205" s="4" t="s">
        <v>116</v>
      </c>
      <c r="I205" s="4"/>
      <c r="J205" s="4"/>
      <c r="K205" s="4">
        <v>209</v>
      </c>
      <c r="L205" s="4">
        <v>23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210</v>
      </c>
      <c r="F206" s="4">
        <f>ROUND(Source!X181,O206)</f>
        <v>25929.19</v>
      </c>
      <c r="G206" s="4" t="s">
        <v>117</v>
      </c>
      <c r="H206" s="4" t="s">
        <v>118</v>
      </c>
      <c r="I206" s="4"/>
      <c r="J206" s="4"/>
      <c r="K206" s="4">
        <v>210</v>
      </c>
      <c r="L206" s="4">
        <v>24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211</v>
      </c>
      <c r="F207" s="4">
        <f>ROUND(Source!Y181,O207)</f>
        <v>3704.16</v>
      </c>
      <c r="G207" s="4" t="s">
        <v>119</v>
      </c>
      <c r="H207" s="4" t="s">
        <v>120</v>
      </c>
      <c r="I207" s="4"/>
      <c r="J207" s="4"/>
      <c r="K207" s="4">
        <v>211</v>
      </c>
      <c r="L207" s="4">
        <v>25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224</v>
      </c>
      <c r="F208" s="4">
        <f>ROUND(Source!AR181,O208)</f>
        <v>183600.91</v>
      </c>
      <c r="G208" s="4" t="s">
        <v>121</v>
      </c>
      <c r="H208" s="4" t="s">
        <v>122</v>
      </c>
      <c r="I208" s="4"/>
      <c r="J208" s="4"/>
      <c r="K208" s="4">
        <v>224</v>
      </c>
      <c r="L208" s="4">
        <v>26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45" x14ac:dyDescent="0.2">
      <c r="A209" s="4">
        <v>50</v>
      </c>
      <c r="B209" s="4">
        <v>1</v>
      </c>
      <c r="C209" s="4">
        <v>0</v>
      </c>
      <c r="D209" s="4">
        <v>2</v>
      </c>
      <c r="E209" s="4">
        <v>0</v>
      </c>
      <c r="F209" s="4">
        <f>ROUND(F208,O209)</f>
        <v>183600.91</v>
      </c>
      <c r="G209" s="4" t="s">
        <v>19</v>
      </c>
      <c r="H209" s="4" t="s">
        <v>123</v>
      </c>
      <c r="I209" s="4"/>
      <c r="J209" s="4"/>
      <c r="K209" s="4">
        <v>212</v>
      </c>
      <c r="L209" s="4">
        <v>27</v>
      </c>
      <c r="M209" s="4">
        <v>0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45" x14ac:dyDescent="0.2">
      <c r="A210" s="4">
        <v>50</v>
      </c>
      <c r="B210" s="4">
        <v>1</v>
      </c>
      <c r="C210" s="4">
        <v>0</v>
      </c>
      <c r="D210" s="4">
        <v>2</v>
      </c>
      <c r="E210" s="4">
        <v>0</v>
      </c>
      <c r="F210" s="4">
        <f>ROUND(F209*0.2,O210)</f>
        <v>36720.18</v>
      </c>
      <c r="G210" s="4" t="s">
        <v>27</v>
      </c>
      <c r="H210" s="4" t="s">
        <v>124</v>
      </c>
      <c r="I210" s="4"/>
      <c r="J210" s="4"/>
      <c r="K210" s="4">
        <v>212</v>
      </c>
      <c r="L210" s="4">
        <v>28</v>
      </c>
      <c r="M210" s="4">
        <v>0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45" x14ac:dyDescent="0.2">
      <c r="A211" s="4">
        <v>50</v>
      </c>
      <c r="B211" s="4">
        <v>1</v>
      </c>
      <c r="C211" s="4">
        <v>0</v>
      </c>
      <c r="D211" s="4">
        <v>2</v>
      </c>
      <c r="E211" s="4">
        <v>0</v>
      </c>
      <c r="F211" s="4">
        <f>ROUND(F209+F210,O211)</f>
        <v>220321.09</v>
      </c>
      <c r="G211" s="4" t="s">
        <v>31</v>
      </c>
      <c r="H211" s="4" t="s">
        <v>121</v>
      </c>
      <c r="I211" s="4"/>
      <c r="J211" s="4"/>
      <c r="K211" s="4">
        <v>212</v>
      </c>
      <c r="L211" s="4">
        <v>29</v>
      </c>
      <c r="M211" s="4">
        <v>0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3" spans="1:245" x14ac:dyDescent="0.2">
      <c r="A213" s="1">
        <v>4</v>
      </c>
      <c r="B213" s="1">
        <v>1</v>
      </c>
      <c r="C213" s="1"/>
      <c r="D213" s="1">
        <f>ROW(A222)</f>
        <v>222</v>
      </c>
      <c r="E213" s="1"/>
      <c r="F213" s="1" t="s">
        <v>17</v>
      </c>
      <c r="G213" s="1" t="s">
        <v>196</v>
      </c>
      <c r="H213" s="1" t="s">
        <v>3</v>
      </c>
      <c r="I213" s="1">
        <v>0</v>
      </c>
      <c r="J213" s="1"/>
      <c r="K213" s="1">
        <v>0</v>
      </c>
      <c r="L213" s="1"/>
      <c r="M213" s="1"/>
      <c r="N213" s="1"/>
      <c r="O213" s="1"/>
      <c r="P213" s="1"/>
      <c r="Q213" s="1"/>
      <c r="R213" s="1"/>
      <c r="S213" s="1"/>
      <c r="T213" s="1"/>
      <c r="U213" s="1" t="s">
        <v>3</v>
      </c>
      <c r="V213" s="1">
        <v>0</v>
      </c>
      <c r="W213" s="1"/>
      <c r="X213" s="1"/>
      <c r="Y213" s="1"/>
      <c r="Z213" s="1"/>
      <c r="AA213" s="1"/>
      <c r="AB213" s="1" t="s">
        <v>3</v>
      </c>
      <c r="AC213" s="1" t="s">
        <v>3</v>
      </c>
      <c r="AD213" s="1" t="s">
        <v>3</v>
      </c>
      <c r="AE213" s="1" t="s">
        <v>3</v>
      </c>
      <c r="AF213" s="1" t="s">
        <v>3</v>
      </c>
      <c r="AG213" s="1" t="s">
        <v>3</v>
      </c>
      <c r="AH213" s="1"/>
      <c r="AI213" s="1"/>
      <c r="AJ213" s="1"/>
      <c r="AK213" s="1"/>
      <c r="AL213" s="1"/>
      <c r="AM213" s="1"/>
      <c r="AN213" s="1"/>
      <c r="AO213" s="1"/>
      <c r="AP213" s="1" t="s">
        <v>3</v>
      </c>
      <c r="AQ213" s="1" t="s">
        <v>3</v>
      </c>
      <c r="AR213" s="1" t="s">
        <v>3</v>
      </c>
      <c r="AS213" s="1"/>
      <c r="AT213" s="1"/>
      <c r="AU213" s="1"/>
      <c r="AV213" s="1"/>
      <c r="AW213" s="1"/>
      <c r="AX213" s="1"/>
      <c r="AY213" s="1"/>
      <c r="AZ213" s="1" t="s">
        <v>3</v>
      </c>
      <c r="BA213" s="1"/>
      <c r="BB213" s="1" t="s">
        <v>3</v>
      </c>
      <c r="BC213" s="1" t="s">
        <v>3</v>
      </c>
      <c r="BD213" s="1" t="s">
        <v>3</v>
      </c>
      <c r="BE213" s="1" t="s">
        <v>3</v>
      </c>
      <c r="BF213" s="1" t="s">
        <v>3</v>
      </c>
      <c r="BG213" s="1" t="s">
        <v>3</v>
      </c>
      <c r="BH213" s="1" t="s">
        <v>3</v>
      </c>
      <c r="BI213" s="1" t="s">
        <v>3</v>
      </c>
      <c r="BJ213" s="1" t="s">
        <v>3</v>
      </c>
      <c r="BK213" s="1" t="s">
        <v>3</v>
      </c>
      <c r="BL213" s="1" t="s">
        <v>3</v>
      </c>
      <c r="BM213" s="1" t="s">
        <v>3</v>
      </c>
      <c r="BN213" s="1" t="s">
        <v>3</v>
      </c>
      <c r="BO213" s="1" t="s">
        <v>3</v>
      </c>
      <c r="BP213" s="1" t="s">
        <v>3</v>
      </c>
      <c r="BQ213" s="1"/>
      <c r="BR213" s="1"/>
      <c r="BS213" s="1"/>
      <c r="BT213" s="1"/>
      <c r="BU213" s="1"/>
      <c r="BV213" s="1"/>
      <c r="BW213" s="1"/>
      <c r="BX213" s="1">
        <v>0</v>
      </c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>
        <v>0</v>
      </c>
    </row>
    <row r="215" spans="1:245" x14ac:dyDescent="0.2">
      <c r="A215" s="2">
        <v>52</v>
      </c>
      <c r="B215" s="2">
        <f t="shared" ref="B215:G215" si="196">B222</f>
        <v>1</v>
      </c>
      <c r="C215" s="2">
        <f t="shared" si="196"/>
        <v>4</v>
      </c>
      <c r="D215" s="2">
        <f t="shared" si="196"/>
        <v>213</v>
      </c>
      <c r="E215" s="2">
        <f t="shared" si="196"/>
        <v>0</v>
      </c>
      <c r="F215" s="2" t="str">
        <f t="shared" si="196"/>
        <v>Новый раздел</v>
      </c>
      <c r="G215" s="2" t="str">
        <f t="shared" si="196"/>
        <v>22.1 Посадка деревьев с комо 0,8х0,6м, высотой от 3м - 8 шт.</v>
      </c>
      <c r="H215" s="2"/>
      <c r="I215" s="2"/>
      <c r="J215" s="2"/>
      <c r="K215" s="2"/>
      <c r="L215" s="2"/>
      <c r="M215" s="2"/>
      <c r="N215" s="2"/>
      <c r="O215" s="2">
        <f t="shared" ref="O215:AT215" si="197">O222</f>
        <v>41884.639999999999</v>
      </c>
      <c r="P215" s="2">
        <f t="shared" si="197"/>
        <v>29456.22</v>
      </c>
      <c r="Q215" s="2">
        <f t="shared" si="197"/>
        <v>1405.25</v>
      </c>
      <c r="R215" s="2">
        <f t="shared" si="197"/>
        <v>376.4</v>
      </c>
      <c r="S215" s="2">
        <f t="shared" si="197"/>
        <v>11023.17</v>
      </c>
      <c r="T215" s="2">
        <f t="shared" si="197"/>
        <v>0</v>
      </c>
      <c r="U215" s="2">
        <f t="shared" si="197"/>
        <v>55.788799999999995</v>
      </c>
      <c r="V215" s="2">
        <f t="shared" si="197"/>
        <v>0</v>
      </c>
      <c r="W215" s="2">
        <f t="shared" si="197"/>
        <v>0</v>
      </c>
      <c r="X215" s="2">
        <f t="shared" si="197"/>
        <v>7716.22</v>
      </c>
      <c r="Y215" s="2">
        <f t="shared" si="197"/>
        <v>1102.32</v>
      </c>
      <c r="Z215" s="2">
        <f t="shared" si="197"/>
        <v>0</v>
      </c>
      <c r="AA215" s="2">
        <f t="shared" si="197"/>
        <v>0</v>
      </c>
      <c r="AB215" s="2">
        <f t="shared" si="197"/>
        <v>41884.639999999999</v>
      </c>
      <c r="AC215" s="2">
        <f t="shared" si="197"/>
        <v>29456.22</v>
      </c>
      <c r="AD215" s="2">
        <f t="shared" si="197"/>
        <v>1405.25</v>
      </c>
      <c r="AE215" s="2">
        <f t="shared" si="197"/>
        <v>376.4</v>
      </c>
      <c r="AF215" s="2">
        <f t="shared" si="197"/>
        <v>11023.17</v>
      </c>
      <c r="AG215" s="2">
        <f t="shared" si="197"/>
        <v>0</v>
      </c>
      <c r="AH215" s="2">
        <f t="shared" si="197"/>
        <v>55.788799999999995</v>
      </c>
      <c r="AI215" s="2">
        <f t="shared" si="197"/>
        <v>0</v>
      </c>
      <c r="AJ215" s="2">
        <f t="shared" si="197"/>
        <v>0</v>
      </c>
      <c r="AK215" s="2">
        <f t="shared" si="197"/>
        <v>7716.22</v>
      </c>
      <c r="AL215" s="2">
        <f t="shared" si="197"/>
        <v>1102.32</v>
      </c>
      <c r="AM215" s="2">
        <f t="shared" si="197"/>
        <v>0</v>
      </c>
      <c r="AN215" s="2">
        <f t="shared" si="197"/>
        <v>0</v>
      </c>
      <c r="AO215" s="2">
        <f t="shared" si="197"/>
        <v>0</v>
      </c>
      <c r="AP215" s="2">
        <f t="shared" si="197"/>
        <v>0</v>
      </c>
      <c r="AQ215" s="2">
        <f t="shared" si="197"/>
        <v>0</v>
      </c>
      <c r="AR215" s="2">
        <f t="shared" si="197"/>
        <v>51109.69</v>
      </c>
      <c r="AS215" s="2">
        <f t="shared" si="197"/>
        <v>0</v>
      </c>
      <c r="AT215" s="2">
        <f t="shared" si="197"/>
        <v>0</v>
      </c>
      <c r="AU215" s="2">
        <f t="shared" ref="AU215:BZ215" si="198">AU222</f>
        <v>51109.69</v>
      </c>
      <c r="AV215" s="2">
        <f t="shared" si="198"/>
        <v>29456.22</v>
      </c>
      <c r="AW215" s="2">
        <f t="shared" si="198"/>
        <v>29456.22</v>
      </c>
      <c r="AX215" s="2">
        <f t="shared" si="198"/>
        <v>0</v>
      </c>
      <c r="AY215" s="2">
        <f t="shared" si="198"/>
        <v>29456.22</v>
      </c>
      <c r="AZ215" s="2">
        <f t="shared" si="198"/>
        <v>0</v>
      </c>
      <c r="BA215" s="2">
        <f t="shared" si="198"/>
        <v>0</v>
      </c>
      <c r="BB215" s="2">
        <f t="shared" si="198"/>
        <v>0</v>
      </c>
      <c r="BC215" s="2">
        <f t="shared" si="198"/>
        <v>0</v>
      </c>
      <c r="BD215" s="2">
        <f t="shared" si="198"/>
        <v>0</v>
      </c>
      <c r="BE215" s="2">
        <f t="shared" si="198"/>
        <v>0</v>
      </c>
      <c r="BF215" s="2">
        <f t="shared" si="198"/>
        <v>0</v>
      </c>
      <c r="BG215" s="2">
        <f t="shared" si="198"/>
        <v>0</v>
      </c>
      <c r="BH215" s="2">
        <f t="shared" si="198"/>
        <v>0</v>
      </c>
      <c r="BI215" s="2">
        <f t="shared" si="198"/>
        <v>0</v>
      </c>
      <c r="BJ215" s="2">
        <f t="shared" si="198"/>
        <v>0</v>
      </c>
      <c r="BK215" s="2">
        <f t="shared" si="198"/>
        <v>0</v>
      </c>
      <c r="BL215" s="2">
        <f t="shared" si="198"/>
        <v>0</v>
      </c>
      <c r="BM215" s="2">
        <f t="shared" si="198"/>
        <v>0</v>
      </c>
      <c r="BN215" s="2">
        <f t="shared" si="198"/>
        <v>0</v>
      </c>
      <c r="BO215" s="2">
        <f t="shared" si="198"/>
        <v>0</v>
      </c>
      <c r="BP215" s="2">
        <f t="shared" si="198"/>
        <v>0</v>
      </c>
      <c r="BQ215" s="2">
        <f t="shared" si="198"/>
        <v>0</v>
      </c>
      <c r="BR215" s="2">
        <f t="shared" si="198"/>
        <v>0</v>
      </c>
      <c r="BS215" s="2">
        <f t="shared" si="198"/>
        <v>0</v>
      </c>
      <c r="BT215" s="2">
        <f t="shared" si="198"/>
        <v>0</v>
      </c>
      <c r="BU215" s="2">
        <f t="shared" si="198"/>
        <v>0</v>
      </c>
      <c r="BV215" s="2">
        <f t="shared" si="198"/>
        <v>0</v>
      </c>
      <c r="BW215" s="2">
        <f t="shared" si="198"/>
        <v>0</v>
      </c>
      <c r="BX215" s="2">
        <f t="shared" si="198"/>
        <v>0</v>
      </c>
      <c r="BY215" s="2">
        <f t="shared" si="198"/>
        <v>0</v>
      </c>
      <c r="BZ215" s="2">
        <f t="shared" si="198"/>
        <v>0</v>
      </c>
      <c r="CA215" s="2">
        <f t="shared" ref="CA215:DF215" si="199">CA222</f>
        <v>51109.69</v>
      </c>
      <c r="CB215" s="2">
        <f t="shared" si="199"/>
        <v>0</v>
      </c>
      <c r="CC215" s="2">
        <f t="shared" si="199"/>
        <v>0</v>
      </c>
      <c r="CD215" s="2">
        <f t="shared" si="199"/>
        <v>51109.69</v>
      </c>
      <c r="CE215" s="2">
        <f t="shared" si="199"/>
        <v>29456.22</v>
      </c>
      <c r="CF215" s="2">
        <f t="shared" si="199"/>
        <v>29456.22</v>
      </c>
      <c r="CG215" s="2">
        <f t="shared" si="199"/>
        <v>0</v>
      </c>
      <c r="CH215" s="2">
        <f t="shared" si="199"/>
        <v>29456.22</v>
      </c>
      <c r="CI215" s="2">
        <f t="shared" si="199"/>
        <v>0</v>
      </c>
      <c r="CJ215" s="2">
        <f t="shared" si="199"/>
        <v>0</v>
      </c>
      <c r="CK215" s="2">
        <f t="shared" si="199"/>
        <v>0</v>
      </c>
      <c r="CL215" s="2">
        <f t="shared" si="199"/>
        <v>0</v>
      </c>
      <c r="CM215" s="2">
        <f t="shared" si="199"/>
        <v>0</v>
      </c>
      <c r="CN215" s="2">
        <f t="shared" si="199"/>
        <v>0</v>
      </c>
      <c r="CO215" s="2">
        <f t="shared" si="199"/>
        <v>0</v>
      </c>
      <c r="CP215" s="2">
        <f t="shared" si="199"/>
        <v>0</v>
      </c>
      <c r="CQ215" s="2">
        <f t="shared" si="199"/>
        <v>0</v>
      </c>
      <c r="CR215" s="2">
        <f t="shared" si="199"/>
        <v>0</v>
      </c>
      <c r="CS215" s="2">
        <f t="shared" si="199"/>
        <v>0</v>
      </c>
      <c r="CT215" s="2">
        <f t="shared" si="199"/>
        <v>0</v>
      </c>
      <c r="CU215" s="2">
        <f t="shared" si="199"/>
        <v>0</v>
      </c>
      <c r="CV215" s="2">
        <f t="shared" si="199"/>
        <v>0</v>
      </c>
      <c r="CW215" s="2">
        <f t="shared" si="199"/>
        <v>0</v>
      </c>
      <c r="CX215" s="2">
        <f t="shared" si="199"/>
        <v>0</v>
      </c>
      <c r="CY215" s="2">
        <f t="shared" si="199"/>
        <v>0</v>
      </c>
      <c r="CZ215" s="2">
        <f t="shared" si="199"/>
        <v>0</v>
      </c>
      <c r="DA215" s="2">
        <f t="shared" si="199"/>
        <v>0</v>
      </c>
      <c r="DB215" s="2">
        <f t="shared" si="199"/>
        <v>0</v>
      </c>
      <c r="DC215" s="2">
        <f t="shared" si="199"/>
        <v>0</v>
      </c>
      <c r="DD215" s="2">
        <f t="shared" si="199"/>
        <v>0</v>
      </c>
      <c r="DE215" s="2">
        <f t="shared" si="199"/>
        <v>0</v>
      </c>
      <c r="DF215" s="2">
        <f t="shared" si="199"/>
        <v>0</v>
      </c>
      <c r="DG215" s="3">
        <f t="shared" ref="DG215:EL215" si="200">DG222</f>
        <v>0</v>
      </c>
      <c r="DH215" s="3">
        <f t="shared" si="200"/>
        <v>0</v>
      </c>
      <c r="DI215" s="3">
        <f t="shared" si="200"/>
        <v>0</v>
      </c>
      <c r="DJ215" s="3">
        <f t="shared" si="200"/>
        <v>0</v>
      </c>
      <c r="DK215" s="3">
        <f t="shared" si="200"/>
        <v>0</v>
      </c>
      <c r="DL215" s="3">
        <f t="shared" si="200"/>
        <v>0</v>
      </c>
      <c r="DM215" s="3">
        <f t="shared" si="200"/>
        <v>0</v>
      </c>
      <c r="DN215" s="3">
        <f t="shared" si="200"/>
        <v>0</v>
      </c>
      <c r="DO215" s="3">
        <f t="shared" si="200"/>
        <v>0</v>
      </c>
      <c r="DP215" s="3">
        <f t="shared" si="200"/>
        <v>0</v>
      </c>
      <c r="DQ215" s="3">
        <f t="shared" si="200"/>
        <v>0</v>
      </c>
      <c r="DR215" s="3">
        <f t="shared" si="200"/>
        <v>0</v>
      </c>
      <c r="DS215" s="3">
        <f t="shared" si="200"/>
        <v>0</v>
      </c>
      <c r="DT215" s="3">
        <f t="shared" si="200"/>
        <v>0</v>
      </c>
      <c r="DU215" s="3">
        <f t="shared" si="200"/>
        <v>0</v>
      </c>
      <c r="DV215" s="3">
        <f t="shared" si="200"/>
        <v>0</v>
      </c>
      <c r="DW215" s="3">
        <f t="shared" si="200"/>
        <v>0</v>
      </c>
      <c r="DX215" s="3">
        <f t="shared" si="200"/>
        <v>0</v>
      </c>
      <c r="DY215" s="3">
        <f t="shared" si="200"/>
        <v>0</v>
      </c>
      <c r="DZ215" s="3">
        <f t="shared" si="200"/>
        <v>0</v>
      </c>
      <c r="EA215" s="3">
        <f t="shared" si="200"/>
        <v>0</v>
      </c>
      <c r="EB215" s="3">
        <f t="shared" si="200"/>
        <v>0</v>
      </c>
      <c r="EC215" s="3">
        <f t="shared" si="200"/>
        <v>0</v>
      </c>
      <c r="ED215" s="3">
        <f t="shared" si="200"/>
        <v>0</v>
      </c>
      <c r="EE215" s="3">
        <f t="shared" si="200"/>
        <v>0</v>
      </c>
      <c r="EF215" s="3">
        <f t="shared" si="200"/>
        <v>0</v>
      </c>
      <c r="EG215" s="3">
        <f t="shared" si="200"/>
        <v>0</v>
      </c>
      <c r="EH215" s="3">
        <f t="shared" si="200"/>
        <v>0</v>
      </c>
      <c r="EI215" s="3">
        <f t="shared" si="200"/>
        <v>0</v>
      </c>
      <c r="EJ215" s="3">
        <f t="shared" si="200"/>
        <v>0</v>
      </c>
      <c r="EK215" s="3">
        <f t="shared" si="200"/>
        <v>0</v>
      </c>
      <c r="EL215" s="3">
        <f t="shared" si="200"/>
        <v>0</v>
      </c>
      <c r="EM215" s="3">
        <f t="shared" ref="EM215:FR215" si="201">EM222</f>
        <v>0</v>
      </c>
      <c r="EN215" s="3">
        <f t="shared" si="201"/>
        <v>0</v>
      </c>
      <c r="EO215" s="3">
        <f t="shared" si="201"/>
        <v>0</v>
      </c>
      <c r="EP215" s="3">
        <f t="shared" si="201"/>
        <v>0</v>
      </c>
      <c r="EQ215" s="3">
        <f t="shared" si="201"/>
        <v>0</v>
      </c>
      <c r="ER215" s="3">
        <f t="shared" si="201"/>
        <v>0</v>
      </c>
      <c r="ES215" s="3">
        <f t="shared" si="201"/>
        <v>0</v>
      </c>
      <c r="ET215" s="3">
        <f t="shared" si="201"/>
        <v>0</v>
      </c>
      <c r="EU215" s="3">
        <f t="shared" si="201"/>
        <v>0</v>
      </c>
      <c r="EV215" s="3">
        <f t="shared" si="201"/>
        <v>0</v>
      </c>
      <c r="EW215" s="3">
        <f t="shared" si="201"/>
        <v>0</v>
      </c>
      <c r="EX215" s="3">
        <f t="shared" si="201"/>
        <v>0</v>
      </c>
      <c r="EY215" s="3">
        <f t="shared" si="201"/>
        <v>0</v>
      </c>
      <c r="EZ215" s="3">
        <f t="shared" si="201"/>
        <v>0</v>
      </c>
      <c r="FA215" s="3">
        <f t="shared" si="201"/>
        <v>0</v>
      </c>
      <c r="FB215" s="3">
        <f t="shared" si="201"/>
        <v>0</v>
      </c>
      <c r="FC215" s="3">
        <f t="shared" si="201"/>
        <v>0</v>
      </c>
      <c r="FD215" s="3">
        <f t="shared" si="201"/>
        <v>0</v>
      </c>
      <c r="FE215" s="3">
        <f t="shared" si="201"/>
        <v>0</v>
      </c>
      <c r="FF215" s="3">
        <f t="shared" si="201"/>
        <v>0</v>
      </c>
      <c r="FG215" s="3">
        <f t="shared" si="201"/>
        <v>0</v>
      </c>
      <c r="FH215" s="3">
        <f t="shared" si="201"/>
        <v>0</v>
      </c>
      <c r="FI215" s="3">
        <f t="shared" si="201"/>
        <v>0</v>
      </c>
      <c r="FJ215" s="3">
        <f t="shared" si="201"/>
        <v>0</v>
      </c>
      <c r="FK215" s="3">
        <f t="shared" si="201"/>
        <v>0</v>
      </c>
      <c r="FL215" s="3">
        <f t="shared" si="201"/>
        <v>0</v>
      </c>
      <c r="FM215" s="3">
        <f t="shared" si="201"/>
        <v>0</v>
      </c>
      <c r="FN215" s="3">
        <f t="shared" si="201"/>
        <v>0</v>
      </c>
      <c r="FO215" s="3">
        <f t="shared" si="201"/>
        <v>0</v>
      </c>
      <c r="FP215" s="3">
        <f t="shared" si="201"/>
        <v>0</v>
      </c>
      <c r="FQ215" s="3">
        <f t="shared" si="201"/>
        <v>0</v>
      </c>
      <c r="FR215" s="3">
        <f t="shared" si="201"/>
        <v>0</v>
      </c>
      <c r="FS215" s="3">
        <f t="shared" ref="FS215:GX215" si="202">FS222</f>
        <v>0</v>
      </c>
      <c r="FT215" s="3">
        <f t="shared" si="202"/>
        <v>0</v>
      </c>
      <c r="FU215" s="3">
        <f t="shared" si="202"/>
        <v>0</v>
      </c>
      <c r="FV215" s="3">
        <f t="shared" si="202"/>
        <v>0</v>
      </c>
      <c r="FW215" s="3">
        <f t="shared" si="202"/>
        <v>0</v>
      </c>
      <c r="FX215" s="3">
        <f t="shared" si="202"/>
        <v>0</v>
      </c>
      <c r="FY215" s="3">
        <f t="shared" si="202"/>
        <v>0</v>
      </c>
      <c r="FZ215" s="3">
        <f t="shared" si="202"/>
        <v>0</v>
      </c>
      <c r="GA215" s="3">
        <f t="shared" si="202"/>
        <v>0</v>
      </c>
      <c r="GB215" s="3">
        <f t="shared" si="202"/>
        <v>0</v>
      </c>
      <c r="GC215" s="3">
        <f t="shared" si="202"/>
        <v>0</v>
      </c>
      <c r="GD215" s="3">
        <f t="shared" si="202"/>
        <v>0</v>
      </c>
      <c r="GE215" s="3">
        <f t="shared" si="202"/>
        <v>0</v>
      </c>
      <c r="GF215" s="3">
        <f t="shared" si="202"/>
        <v>0</v>
      </c>
      <c r="GG215" s="3">
        <f t="shared" si="202"/>
        <v>0</v>
      </c>
      <c r="GH215" s="3">
        <f t="shared" si="202"/>
        <v>0</v>
      </c>
      <c r="GI215" s="3">
        <f t="shared" si="202"/>
        <v>0</v>
      </c>
      <c r="GJ215" s="3">
        <f t="shared" si="202"/>
        <v>0</v>
      </c>
      <c r="GK215" s="3">
        <f t="shared" si="202"/>
        <v>0</v>
      </c>
      <c r="GL215" s="3">
        <f t="shared" si="202"/>
        <v>0</v>
      </c>
      <c r="GM215" s="3">
        <f t="shared" si="202"/>
        <v>0</v>
      </c>
      <c r="GN215" s="3">
        <f t="shared" si="202"/>
        <v>0</v>
      </c>
      <c r="GO215" s="3">
        <f t="shared" si="202"/>
        <v>0</v>
      </c>
      <c r="GP215" s="3">
        <f t="shared" si="202"/>
        <v>0</v>
      </c>
      <c r="GQ215" s="3">
        <f t="shared" si="202"/>
        <v>0</v>
      </c>
      <c r="GR215" s="3">
        <f t="shared" si="202"/>
        <v>0</v>
      </c>
      <c r="GS215" s="3">
        <f t="shared" si="202"/>
        <v>0</v>
      </c>
      <c r="GT215" s="3">
        <f t="shared" si="202"/>
        <v>0</v>
      </c>
      <c r="GU215" s="3">
        <f t="shared" si="202"/>
        <v>0</v>
      </c>
      <c r="GV215" s="3">
        <f t="shared" si="202"/>
        <v>0</v>
      </c>
      <c r="GW215" s="3">
        <f t="shared" si="202"/>
        <v>0</v>
      </c>
      <c r="GX215" s="3">
        <f t="shared" si="202"/>
        <v>0</v>
      </c>
    </row>
    <row r="217" spans="1:245" x14ac:dyDescent="0.2">
      <c r="A217">
        <v>17</v>
      </c>
      <c r="B217">
        <v>1</v>
      </c>
      <c r="C217">
        <f>ROW(SmtRes!A104)</f>
        <v>104</v>
      </c>
      <c r="D217">
        <f>ROW(EtalonRes!A102)</f>
        <v>102</v>
      </c>
      <c r="E217" t="s">
        <v>197</v>
      </c>
      <c r="F217" t="s">
        <v>198</v>
      </c>
      <c r="G217" t="s">
        <v>199</v>
      </c>
      <c r="H217" t="s">
        <v>200</v>
      </c>
      <c r="I217">
        <f>ROUND(8*0.4/10,9)</f>
        <v>0.32</v>
      </c>
      <c r="J217">
        <v>0</v>
      </c>
      <c r="O217">
        <f>ROUND(CP217,2)</f>
        <v>4208.45</v>
      </c>
      <c r="P217">
        <f>ROUND(CQ217*I217,2)</f>
        <v>2039.82</v>
      </c>
      <c r="Q217">
        <f>ROUND(CR217*I217,2)</f>
        <v>176.73</v>
      </c>
      <c r="R217">
        <f>ROUND(CS217*I217,2)</f>
        <v>97.59</v>
      </c>
      <c r="S217">
        <f>ROUND(CT217*I217,2)</f>
        <v>1991.9</v>
      </c>
      <c r="T217">
        <f>ROUND(CU217*I217,2)</f>
        <v>0</v>
      </c>
      <c r="U217">
        <f>CV217*I217</f>
        <v>11.020799999999999</v>
      </c>
      <c r="V217">
        <f>CW217*I217</f>
        <v>0</v>
      </c>
      <c r="W217">
        <f>ROUND(CX217*I217,2)</f>
        <v>0</v>
      </c>
      <c r="X217">
        <f t="shared" ref="X217:Y220" si="203">ROUND(CY217,2)</f>
        <v>1394.33</v>
      </c>
      <c r="Y217">
        <f t="shared" si="203"/>
        <v>199.19</v>
      </c>
      <c r="AA217">
        <v>42184655</v>
      </c>
      <c r="AB217">
        <f>ROUND((AC217+AD217+AF217),6)</f>
        <v>13151.41</v>
      </c>
      <c r="AC217">
        <f>ROUND((ES217),6)</f>
        <v>6374.45</v>
      </c>
      <c r="AD217">
        <f>ROUND((((ET217)-(EU217))+AE217),6)</f>
        <v>552.27</v>
      </c>
      <c r="AE217">
        <f t="shared" ref="AE217:AF220" si="204">ROUND((EU217),6)</f>
        <v>304.97000000000003</v>
      </c>
      <c r="AF217">
        <f t="shared" si="204"/>
        <v>6224.69</v>
      </c>
      <c r="AG217">
        <f>ROUND((AP217),6)</f>
        <v>0</v>
      </c>
      <c r="AH217">
        <f t="shared" ref="AH217:AI220" si="205">(EW217)</f>
        <v>34.44</v>
      </c>
      <c r="AI217">
        <f t="shared" si="205"/>
        <v>0</v>
      </c>
      <c r="AJ217">
        <f>(AS217)</f>
        <v>0</v>
      </c>
      <c r="AK217">
        <v>13151.41</v>
      </c>
      <c r="AL217">
        <v>6374.45</v>
      </c>
      <c r="AM217">
        <v>552.27</v>
      </c>
      <c r="AN217">
        <v>304.97000000000003</v>
      </c>
      <c r="AO217">
        <v>6224.69</v>
      </c>
      <c r="AP217">
        <v>0</v>
      </c>
      <c r="AQ217">
        <v>34.44</v>
      </c>
      <c r="AR217">
        <v>0</v>
      </c>
      <c r="AS217">
        <v>0</v>
      </c>
      <c r="AT217">
        <v>70</v>
      </c>
      <c r="AU217">
        <v>10</v>
      </c>
      <c r="AV217">
        <v>1</v>
      </c>
      <c r="AW217">
        <v>1</v>
      </c>
      <c r="AZ217">
        <v>1</v>
      </c>
      <c r="BA217">
        <v>1</v>
      </c>
      <c r="BB217">
        <v>1</v>
      </c>
      <c r="BC217">
        <v>1</v>
      </c>
      <c r="BD217" t="s">
        <v>3</v>
      </c>
      <c r="BE217" t="s">
        <v>3</v>
      </c>
      <c r="BF217" t="s">
        <v>3</v>
      </c>
      <c r="BG217" t="s">
        <v>3</v>
      </c>
      <c r="BH217">
        <v>0</v>
      </c>
      <c r="BI217">
        <v>4</v>
      </c>
      <c r="BJ217" t="s">
        <v>201</v>
      </c>
      <c r="BM217">
        <v>0</v>
      </c>
      <c r="BN217">
        <v>0</v>
      </c>
      <c r="BO217" t="s">
        <v>3</v>
      </c>
      <c r="BP217">
        <v>0</v>
      </c>
      <c r="BQ217">
        <v>1</v>
      </c>
      <c r="BR217">
        <v>0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70</v>
      </c>
      <c r="CA217">
        <v>10</v>
      </c>
      <c r="CE217">
        <v>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>(P217+Q217+S217)</f>
        <v>4208.45</v>
      </c>
      <c r="CQ217">
        <f>(AC217*BC217*AW217)</f>
        <v>6374.45</v>
      </c>
      <c r="CR217">
        <f>((((ET217)*BB217-(EU217)*BS217)+AE217*BS217)*AV217)</f>
        <v>552.27</v>
      </c>
      <c r="CS217">
        <f>(AE217*BS217*AV217)</f>
        <v>304.97000000000003</v>
      </c>
      <c r="CT217">
        <f>(AF217*BA217*AV217)</f>
        <v>6224.69</v>
      </c>
      <c r="CU217">
        <f>AG217</f>
        <v>0</v>
      </c>
      <c r="CV217">
        <f>(AH217*AV217)</f>
        <v>34.44</v>
      </c>
      <c r="CW217">
        <f t="shared" ref="CW217:CX220" si="206">AI217</f>
        <v>0</v>
      </c>
      <c r="CX217">
        <f t="shared" si="206"/>
        <v>0</v>
      </c>
      <c r="CY217">
        <f>((S217*BZ217)/100)</f>
        <v>1394.33</v>
      </c>
      <c r="CZ217">
        <f>((S217*CA217)/100)</f>
        <v>199.19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0</v>
      </c>
      <c r="DO217">
        <v>0</v>
      </c>
      <c r="DP217">
        <v>1</v>
      </c>
      <c r="DQ217">
        <v>1</v>
      </c>
      <c r="DU217">
        <v>1013</v>
      </c>
      <c r="DV217" t="s">
        <v>200</v>
      </c>
      <c r="DW217" t="s">
        <v>200</v>
      </c>
      <c r="DX217">
        <v>1</v>
      </c>
      <c r="EE217">
        <v>40658659</v>
      </c>
      <c r="EF217">
        <v>1</v>
      </c>
      <c r="EG217" t="s">
        <v>24</v>
      </c>
      <c r="EH217">
        <v>0</v>
      </c>
      <c r="EI217" t="s">
        <v>3</v>
      </c>
      <c r="EJ217">
        <v>4</v>
      </c>
      <c r="EK217">
        <v>0</v>
      </c>
      <c r="EL217" t="s">
        <v>25</v>
      </c>
      <c r="EM217" t="s">
        <v>26</v>
      </c>
      <c r="EO217" t="s">
        <v>3</v>
      </c>
      <c r="EQ217">
        <v>0</v>
      </c>
      <c r="ER217">
        <v>13151.41</v>
      </c>
      <c r="ES217">
        <v>6374.45</v>
      </c>
      <c r="ET217">
        <v>552.27</v>
      </c>
      <c r="EU217">
        <v>304.97000000000003</v>
      </c>
      <c r="EV217">
        <v>6224.69</v>
      </c>
      <c r="EW217">
        <v>34.44</v>
      </c>
      <c r="EX217">
        <v>0</v>
      </c>
      <c r="EY217">
        <v>0</v>
      </c>
      <c r="FQ217">
        <v>0</v>
      </c>
      <c r="FR217">
        <f>ROUND(IF(AND(BH217=3,BI217=3),P217,0),2)</f>
        <v>0</v>
      </c>
      <c r="FS217">
        <v>0</v>
      </c>
      <c r="FX217">
        <v>70</v>
      </c>
      <c r="FY217">
        <v>10</v>
      </c>
      <c r="GA217" t="s">
        <v>3</v>
      </c>
      <c r="GD217">
        <v>0</v>
      </c>
      <c r="GF217">
        <v>248630741</v>
      </c>
      <c r="GG217">
        <v>2</v>
      </c>
      <c r="GH217">
        <v>1</v>
      </c>
      <c r="GI217">
        <v>-2</v>
      </c>
      <c r="GJ217">
        <v>0</v>
      </c>
      <c r="GK217">
        <f>ROUND(R217*(R12)/100,2)</f>
        <v>105.4</v>
      </c>
      <c r="GL217">
        <f>ROUND(IF(AND(BH217=3,BI217=3,FS217&lt;&gt;0),P217,0),2)</f>
        <v>0</v>
      </c>
      <c r="GM217">
        <f>ROUND(O217+X217+Y217+GK217,2)+GX217</f>
        <v>5907.37</v>
      </c>
      <c r="GN217">
        <f>IF(OR(BI217=0,BI217=1),ROUND(O217+X217+Y217+GK217,2),0)</f>
        <v>0</v>
      </c>
      <c r="GO217">
        <f>IF(BI217=2,ROUND(O217+X217+Y217+GK217,2),0)</f>
        <v>0</v>
      </c>
      <c r="GP217">
        <f>IF(BI217=4,ROUND(O217+X217+Y217+GK217,2)+GX217,0)</f>
        <v>5907.37</v>
      </c>
      <c r="GR217">
        <v>0</v>
      </c>
      <c r="GS217">
        <v>3</v>
      </c>
      <c r="GT217">
        <v>0</v>
      </c>
      <c r="GU217" t="s">
        <v>3</v>
      </c>
      <c r="GV217">
        <f>ROUND((GT217),6)</f>
        <v>0</v>
      </c>
      <c r="GW217">
        <v>1</v>
      </c>
      <c r="GX217">
        <f>ROUND(HC217*I217,2)</f>
        <v>0</v>
      </c>
      <c r="HA217">
        <v>0</v>
      </c>
      <c r="HB217">
        <v>0</v>
      </c>
      <c r="HC217">
        <f>GV217*GW217</f>
        <v>0</v>
      </c>
      <c r="IK217">
        <v>0</v>
      </c>
    </row>
    <row r="218" spans="1:245" x14ac:dyDescent="0.2">
      <c r="A218">
        <v>17</v>
      </c>
      <c r="B218">
        <v>1</v>
      </c>
      <c r="C218">
        <f>ROW(SmtRes!A107)</f>
        <v>107</v>
      </c>
      <c r="D218">
        <f>ROW(EtalonRes!A105)</f>
        <v>105</v>
      </c>
      <c r="E218" t="s">
        <v>202</v>
      </c>
      <c r="F218" t="s">
        <v>203</v>
      </c>
      <c r="G218" t="s">
        <v>204</v>
      </c>
      <c r="H218" t="s">
        <v>200</v>
      </c>
      <c r="I218">
        <f>ROUND(8*0.6/10,9)</f>
        <v>0.48</v>
      </c>
      <c r="J218">
        <v>0</v>
      </c>
      <c r="O218">
        <f>ROUND(CP218,2)</f>
        <v>8156.61</v>
      </c>
      <c r="P218">
        <f>ROUND(CQ218*I218,2)</f>
        <v>3059.74</v>
      </c>
      <c r="Q218">
        <f>ROUND(CR218*I218,2)</f>
        <v>0</v>
      </c>
      <c r="R218">
        <f>ROUND(CS218*I218,2)</f>
        <v>0</v>
      </c>
      <c r="S218">
        <f>ROUND(CT218*I218,2)</f>
        <v>5096.87</v>
      </c>
      <c r="T218">
        <f>ROUND(CU218*I218,2)</f>
        <v>0</v>
      </c>
      <c r="U218">
        <f>CV218*I218</f>
        <v>28.2</v>
      </c>
      <c r="V218">
        <f>CW218*I218</f>
        <v>0</v>
      </c>
      <c r="W218">
        <f>ROUND(CX218*I218,2)</f>
        <v>0</v>
      </c>
      <c r="X218">
        <f t="shared" si="203"/>
        <v>3567.81</v>
      </c>
      <c r="Y218">
        <f t="shared" si="203"/>
        <v>509.69</v>
      </c>
      <c r="AA218">
        <v>42184655</v>
      </c>
      <c r="AB218">
        <f>ROUND((AC218+AD218+AF218),6)</f>
        <v>16992.93</v>
      </c>
      <c r="AC218">
        <f>ROUND((ES218),6)</f>
        <v>6374.45</v>
      </c>
      <c r="AD218">
        <f>ROUND((((ET218)-(EU218))+AE218),6)</f>
        <v>0</v>
      </c>
      <c r="AE218">
        <f t="shared" si="204"/>
        <v>0</v>
      </c>
      <c r="AF218">
        <f t="shared" si="204"/>
        <v>10618.48</v>
      </c>
      <c r="AG218">
        <f>ROUND((AP218),6)</f>
        <v>0</v>
      </c>
      <c r="AH218">
        <f t="shared" si="205"/>
        <v>58.75</v>
      </c>
      <c r="AI218">
        <f t="shared" si="205"/>
        <v>0</v>
      </c>
      <c r="AJ218">
        <f>(AS218)</f>
        <v>0</v>
      </c>
      <c r="AK218">
        <v>16992.93</v>
      </c>
      <c r="AL218">
        <v>6374.45</v>
      </c>
      <c r="AM218">
        <v>0</v>
      </c>
      <c r="AN218">
        <v>0</v>
      </c>
      <c r="AO218">
        <v>10618.48</v>
      </c>
      <c r="AP218">
        <v>0</v>
      </c>
      <c r="AQ218">
        <v>58.75</v>
      </c>
      <c r="AR218">
        <v>0</v>
      </c>
      <c r="AS218">
        <v>0</v>
      </c>
      <c r="AT218">
        <v>70</v>
      </c>
      <c r="AU218">
        <v>10</v>
      </c>
      <c r="AV218">
        <v>1</v>
      </c>
      <c r="AW218">
        <v>1</v>
      </c>
      <c r="AZ218">
        <v>1</v>
      </c>
      <c r="BA218">
        <v>1</v>
      </c>
      <c r="BB218">
        <v>1</v>
      </c>
      <c r="BC218">
        <v>1</v>
      </c>
      <c r="BD218" t="s">
        <v>3</v>
      </c>
      <c r="BE218" t="s">
        <v>3</v>
      </c>
      <c r="BF218" t="s">
        <v>3</v>
      </c>
      <c r="BG218" t="s">
        <v>3</v>
      </c>
      <c r="BH218">
        <v>0</v>
      </c>
      <c r="BI218">
        <v>4</v>
      </c>
      <c r="BJ218" t="s">
        <v>205</v>
      </c>
      <c r="BM218">
        <v>0</v>
      </c>
      <c r="BN218">
        <v>0</v>
      </c>
      <c r="BO218" t="s">
        <v>3</v>
      </c>
      <c r="BP218">
        <v>0</v>
      </c>
      <c r="BQ218">
        <v>1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 t="s">
        <v>3</v>
      </c>
      <c r="BZ218">
        <v>70</v>
      </c>
      <c r="CA218">
        <v>10</v>
      </c>
      <c r="CE218">
        <v>0</v>
      </c>
      <c r="CF218">
        <v>0</v>
      </c>
      <c r="CG218">
        <v>0</v>
      </c>
      <c r="CM218">
        <v>0</v>
      </c>
      <c r="CN218" t="s">
        <v>3</v>
      </c>
      <c r="CO218">
        <v>0</v>
      </c>
      <c r="CP218">
        <f>(P218+Q218+S218)</f>
        <v>8156.61</v>
      </c>
      <c r="CQ218">
        <f>(AC218*BC218*AW218)</f>
        <v>6374.45</v>
      </c>
      <c r="CR218">
        <f>((((ET218)*BB218-(EU218)*BS218)+AE218*BS218)*AV218)</f>
        <v>0</v>
      </c>
      <c r="CS218">
        <f>(AE218*BS218*AV218)</f>
        <v>0</v>
      </c>
      <c r="CT218">
        <f>(AF218*BA218*AV218)</f>
        <v>10618.48</v>
      </c>
      <c r="CU218">
        <f>AG218</f>
        <v>0</v>
      </c>
      <c r="CV218">
        <f>(AH218*AV218)</f>
        <v>58.75</v>
      </c>
      <c r="CW218">
        <f t="shared" si="206"/>
        <v>0</v>
      </c>
      <c r="CX218">
        <f t="shared" si="206"/>
        <v>0</v>
      </c>
      <c r="CY218">
        <f>((S218*BZ218)/100)</f>
        <v>3567.8089999999997</v>
      </c>
      <c r="CZ218">
        <f>((S218*CA218)/100)</f>
        <v>509.68699999999995</v>
      </c>
      <c r="DC218" t="s">
        <v>3</v>
      </c>
      <c r="DD218" t="s">
        <v>3</v>
      </c>
      <c r="DE218" t="s">
        <v>3</v>
      </c>
      <c r="DF218" t="s">
        <v>3</v>
      </c>
      <c r="DG218" t="s">
        <v>3</v>
      </c>
      <c r="DH218" t="s">
        <v>3</v>
      </c>
      <c r="DI218" t="s">
        <v>3</v>
      </c>
      <c r="DJ218" t="s">
        <v>3</v>
      </c>
      <c r="DK218" t="s">
        <v>3</v>
      </c>
      <c r="DL218" t="s">
        <v>3</v>
      </c>
      <c r="DM218" t="s">
        <v>3</v>
      </c>
      <c r="DN218">
        <v>0</v>
      </c>
      <c r="DO218">
        <v>0</v>
      </c>
      <c r="DP218">
        <v>1</v>
      </c>
      <c r="DQ218">
        <v>1</v>
      </c>
      <c r="DU218">
        <v>1013</v>
      </c>
      <c r="DV218" t="s">
        <v>200</v>
      </c>
      <c r="DW218" t="s">
        <v>200</v>
      </c>
      <c r="DX218">
        <v>1</v>
      </c>
      <c r="EE218">
        <v>40658659</v>
      </c>
      <c r="EF218">
        <v>1</v>
      </c>
      <c r="EG218" t="s">
        <v>24</v>
      </c>
      <c r="EH218">
        <v>0</v>
      </c>
      <c r="EI218" t="s">
        <v>3</v>
      </c>
      <c r="EJ218">
        <v>4</v>
      </c>
      <c r="EK218">
        <v>0</v>
      </c>
      <c r="EL218" t="s">
        <v>25</v>
      </c>
      <c r="EM218" t="s">
        <v>26</v>
      </c>
      <c r="EO218" t="s">
        <v>3</v>
      </c>
      <c r="EQ218">
        <v>0</v>
      </c>
      <c r="ER218">
        <v>16992.93</v>
      </c>
      <c r="ES218">
        <v>6374.45</v>
      </c>
      <c r="ET218">
        <v>0</v>
      </c>
      <c r="EU218">
        <v>0</v>
      </c>
      <c r="EV218">
        <v>10618.48</v>
      </c>
      <c r="EW218">
        <v>58.75</v>
      </c>
      <c r="EX218">
        <v>0</v>
      </c>
      <c r="EY218">
        <v>0</v>
      </c>
      <c r="FQ218">
        <v>0</v>
      </c>
      <c r="FR218">
        <f>ROUND(IF(AND(BH218=3,BI218=3),P218,0),2)</f>
        <v>0</v>
      </c>
      <c r="FS218">
        <v>0</v>
      </c>
      <c r="FX218">
        <v>70</v>
      </c>
      <c r="FY218">
        <v>10</v>
      </c>
      <c r="GA218" t="s">
        <v>3</v>
      </c>
      <c r="GD218">
        <v>0</v>
      </c>
      <c r="GF218">
        <v>92763017</v>
      </c>
      <c r="GG218">
        <v>2</v>
      </c>
      <c r="GH218">
        <v>1</v>
      </c>
      <c r="GI218">
        <v>-2</v>
      </c>
      <c r="GJ218">
        <v>0</v>
      </c>
      <c r="GK218">
        <f>ROUND(R218*(R12)/100,2)</f>
        <v>0</v>
      </c>
      <c r="GL218">
        <f>ROUND(IF(AND(BH218=3,BI218=3,FS218&lt;&gt;0),P218,0),2)</f>
        <v>0</v>
      </c>
      <c r="GM218">
        <f>ROUND(O218+X218+Y218+GK218,2)+GX218</f>
        <v>12234.11</v>
      </c>
      <c r="GN218">
        <f>IF(OR(BI218=0,BI218=1),ROUND(O218+X218+Y218+GK218,2),0)</f>
        <v>0</v>
      </c>
      <c r="GO218">
        <f>IF(BI218=2,ROUND(O218+X218+Y218+GK218,2),0)</f>
        <v>0</v>
      </c>
      <c r="GP218">
        <f>IF(BI218=4,ROUND(O218+X218+Y218+GK218,2)+GX218,0)</f>
        <v>12234.11</v>
      </c>
      <c r="GR218">
        <v>0</v>
      </c>
      <c r="GS218">
        <v>3</v>
      </c>
      <c r="GT218">
        <v>0</v>
      </c>
      <c r="GU218" t="s">
        <v>3</v>
      </c>
      <c r="GV218">
        <f>ROUND((GT218),6)</f>
        <v>0</v>
      </c>
      <c r="GW218">
        <v>1</v>
      </c>
      <c r="GX218">
        <f>ROUND(HC218*I218,2)</f>
        <v>0</v>
      </c>
      <c r="HA218">
        <v>0</v>
      </c>
      <c r="HB218">
        <v>0</v>
      </c>
      <c r="HC218">
        <f>GV218*GW218</f>
        <v>0</v>
      </c>
      <c r="IK218">
        <v>0</v>
      </c>
    </row>
    <row r="219" spans="1:245" x14ac:dyDescent="0.2">
      <c r="A219">
        <v>17</v>
      </c>
      <c r="B219">
        <v>1</v>
      </c>
      <c r="C219">
        <f>ROW(SmtRes!A114)</f>
        <v>114</v>
      </c>
      <c r="D219">
        <f>ROW(EtalonRes!A112)</f>
        <v>112</v>
      </c>
      <c r="E219" t="s">
        <v>206</v>
      </c>
      <c r="F219" t="s">
        <v>207</v>
      </c>
      <c r="G219" t="s">
        <v>208</v>
      </c>
      <c r="H219" t="s">
        <v>209</v>
      </c>
      <c r="I219">
        <f>ROUND(8/10,9)</f>
        <v>0.8</v>
      </c>
      <c r="J219">
        <v>0</v>
      </c>
      <c r="O219">
        <f>ROUND(CP219,2)</f>
        <v>5826.94</v>
      </c>
      <c r="P219">
        <f>ROUND(CQ219*I219,2)</f>
        <v>664.02</v>
      </c>
      <c r="Q219">
        <f>ROUND(CR219*I219,2)</f>
        <v>1228.52</v>
      </c>
      <c r="R219">
        <f>ROUND(CS219*I219,2)</f>
        <v>278.81</v>
      </c>
      <c r="S219">
        <f>ROUND(CT219*I219,2)</f>
        <v>3934.4</v>
      </c>
      <c r="T219">
        <f>ROUND(CU219*I219,2)</f>
        <v>0</v>
      </c>
      <c r="U219">
        <f>CV219*I219</f>
        <v>16.568000000000001</v>
      </c>
      <c r="V219">
        <f>CW219*I219</f>
        <v>0</v>
      </c>
      <c r="W219">
        <f>ROUND(CX219*I219,2)</f>
        <v>0</v>
      </c>
      <c r="X219">
        <f t="shared" si="203"/>
        <v>2754.08</v>
      </c>
      <c r="Y219">
        <f t="shared" si="203"/>
        <v>393.44</v>
      </c>
      <c r="AA219">
        <v>42184655</v>
      </c>
      <c r="AB219">
        <f>ROUND((AC219+AD219+AF219),6)</f>
        <v>7283.67</v>
      </c>
      <c r="AC219">
        <f>ROUND((ES219),6)</f>
        <v>830.02</v>
      </c>
      <c r="AD219">
        <f>ROUND((((ET219)-(EU219))+AE219),6)</f>
        <v>1535.65</v>
      </c>
      <c r="AE219">
        <f t="shared" si="204"/>
        <v>348.51</v>
      </c>
      <c r="AF219">
        <f t="shared" si="204"/>
        <v>4918</v>
      </c>
      <c r="AG219">
        <f>ROUND((AP219),6)</f>
        <v>0</v>
      </c>
      <c r="AH219">
        <f t="shared" si="205"/>
        <v>20.71</v>
      </c>
      <c r="AI219">
        <f t="shared" si="205"/>
        <v>0</v>
      </c>
      <c r="AJ219">
        <f>(AS219)</f>
        <v>0</v>
      </c>
      <c r="AK219">
        <v>7283.67</v>
      </c>
      <c r="AL219">
        <v>830.02</v>
      </c>
      <c r="AM219">
        <v>1535.65</v>
      </c>
      <c r="AN219">
        <v>348.51</v>
      </c>
      <c r="AO219">
        <v>4918</v>
      </c>
      <c r="AP219">
        <v>0</v>
      </c>
      <c r="AQ219">
        <v>20.71</v>
      </c>
      <c r="AR219">
        <v>0</v>
      </c>
      <c r="AS219">
        <v>0</v>
      </c>
      <c r="AT219">
        <v>70</v>
      </c>
      <c r="AU219">
        <v>10</v>
      </c>
      <c r="AV219">
        <v>1</v>
      </c>
      <c r="AW219">
        <v>1</v>
      </c>
      <c r="AZ219">
        <v>1</v>
      </c>
      <c r="BA219">
        <v>1</v>
      </c>
      <c r="BB219">
        <v>1</v>
      </c>
      <c r="BC219">
        <v>1</v>
      </c>
      <c r="BD219" t="s">
        <v>3</v>
      </c>
      <c r="BE219" t="s">
        <v>3</v>
      </c>
      <c r="BF219" t="s">
        <v>3</v>
      </c>
      <c r="BG219" t="s">
        <v>3</v>
      </c>
      <c r="BH219">
        <v>0</v>
      </c>
      <c r="BI219">
        <v>4</v>
      </c>
      <c r="BJ219" t="s">
        <v>210</v>
      </c>
      <c r="BM219">
        <v>0</v>
      </c>
      <c r="BN219">
        <v>0</v>
      </c>
      <c r="BO219" t="s">
        <v>3</v>
      </c>
      <c r="BP219">
        <v>0</v>
      </c>
      <c r="BQ219">
        <v>1</v>
      </c>
      <c r="BR219">
        <v>0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 t="s">
        <v>3</v>
      </c>
      <c r="BZ219">
        <v>70</v>
      </c>
      <c r="CA219">
        <v>10</v>
      </c>
      <c r="CE219">
        <v>0</v>
      </c>
      <c r="CF219">
        <v>0</v>
      </c>
      <c r="CG219">
        <v>0</v>
      </c>
      <c r="CM219">
        <v>0</v>
      </c>
      <c r="CN219" t="s">
        <v>3</v>
      </c>
      <c r="CO219">
        <v>0</v>
      </c>
      <c r="CP219">
        <f>(P219+Q219+S219)</f>
        <v>5826.9400000000005</v>
      </c>
      <c r="CQ219">
        <f>(AC219*BC219*AW219)</f>
        <v>830.02</v>
      </c>
      <c r="CR219">
        <f>((((ET219)*BB219-(EU219)*BS219)+AE219*BS219)*AV219)</f>
        <v>1535.65</v>
      </c>
      <c r="CS219">
        <f>(AE219*BS219*AV219)</f>
        <v>348.51</v>
      </c>
      <c r="CT219">
        <f>(AF219*BA219*AV219)</f>
        <v>4918</v>
      </c>
      <c r="CU219">
        <f>AG219</f>
        <v>0</v>
      </c>
      <c r="CV219">
        <f>(AH219*AV219)</f>
        <v>20.71</v>
      </c>
      <c r="CW219">
        <f t="shared" si="206"/>
        <v>0</v>
      </c>
      <c r="CX219">
        <f t="shared" si="206"/>
        <v>0</v>
      </c>
      <c r="CY219">
        <f>((S219*BZ219)/100)</f>
        <v>2754.08</v>
      </c>
      <c r="CZ219">
        <f>((S219*CA219)/100)</f>
        <v>393.44</v>
      </c>
      <c r="DC219" t="s">
        <v>3</v>
      </c>
      <c r="DD219" t="s">
        <v>3</v>
      </c>
      <c r="DE219" t="s">
        <v>3</v>
      </c>
      <c r="DF219" t="s">
        <v>3</v>
      </c>
      <c r="DG219" t="s">
        <v>3</v>
      </c>
      <c r="DH219" t="s">
        <v>3</v>
      </c>
      <c r="DI219" t="s">
        <v>3</v>
      </c>
      <c r="DJ219" t="s">
        <v>3</v>
      </c>
      <c r="DK219" t="s">
        <v>3</v>
      </c>
      <c r="DL219" t="s">
        <v>3</v>
      </c>
      <c r="DM219" t="s">
        <v>3</v>
      </c>
      <c r="DN219">
        <v>0</v>
      </c>
      <c r="DO219">
        <v>0</v>
      </c>
      <c r="DP219">
        <v>1</v>
      </c>
      <c r="DQ219">
        <v>1</v>
      </c>
      <c r="DU219">
        <v>1010</v>
      </c>
      <c r="DV219" t="s">
        <v>209</v>
      </c>
      <c r="DW219" t="s">
        <v>209</v>
      </c>
      <c r="DX219">
        <v>10</v>
      </c>
      <c r="EE219">
        <v>40658659</v>
      </c>
      <c r="EF219">
        <v>1</v>
      </c>
      <c r="EG219" t="s">
        <v>24</v>
      </c>
      <c r="EH219">
        <v>0</v>
      </c>
      <c r="EI219" t="s">
        <v>3</v>
      </c>
      <c r="EJ219">
        <v>4</v>
      </c>
      <c r="EK219">
        <v>0</v>
      </c>
      <c r="EL219" t="s">
        <v>25</v>
      </c>
      <c r="EM219" t="s">
        <v>26</v>
      </c>
      <c r="EO219" t="s">
        <v>3</v>
      </c>
      <c r="EQ219">
        <v>0</v>
      </c>
      <c r="ER219">
        <v>7283.67</v>
      </c>
      <c r="ES219">
        <v>830.02</v>
      </c>
      <c r="ET219">
        <v>1535.65</v>
      </c>
      <c r="EU219">
        <v>348.51</v>
      </c>
      <c r="EV219">
        <v>4918</v>
      </c>
      <c r="EW219">
        <v>20.71</v>
      </c>
      <c r="EX219">
        <v>0</v>
      </c>
      <c r="EY219">
        <v>0</v>
      </c>
      <c r="FQ219">
        <v>0</v>
      </c>
      <c r="FR219">
        <f>ROUND(IF(AND(BH219=3,BI219=3),P219,0),2)</f>
        <v>0</v>
      </c>
      <c r="FS219">
        <v>0</v>
      </c>
      <c r="FX219">
        <v>70</v>
      </c>
      <c r="FY219">
        <v>10</v>
      </c>
      <c r="GA219" t="s">
        <v>3</v>
      </c>
      <c r="GD219">
        <v>0</v>
      </c>
      <c r="GF219">
        <v>-898449428</v>
      </c>
      <c r="GG219">
        <v>2</v>
      </c>
      <c r="GH219">
        <v>1</v>
      </c>
      <c r="GI219">
        <v>-2</v>
      </c>
      <c r="GJ219">
        <v>0</v>
      </c>
      <c r="GK219">
        <f>ROUND(R219*(R12)/100,2)</f>
        <v>301.11</v>
      </c>
      <c r="GL219">
        <f>ROUND(IF(AND(BH219=3,BI219=3,FS219&lt;&gt;0),P219,0),2)</f>
        <v>0</v>
      </c>
      <c r="GM219">
        <f>ROUND(O219+X219+Y219+GK219,2)+GX219</f>
        <v>9275.57</v>
      </c>
      <c r="GN219">
        <f>IF(OR(BI219=0,BI219=1),ROUND(O219+X219+Y219+GK219,2),0)</f>
        <v>0</v>
      </c>
      <c r="GO219">
        <f>IF(BI219=2,ROUND(O219+X219+Y219+GK219,2),0)</f>
        <v>0</v>
      </c>
      <c r="GP219">
        <f>IF(BI219=4,ROUND(O219+X219+Y219+GK219,2)+GX219,0)</f>
        <v>9275.57</v>
      </c>
      <c r="GR219">
        <v>0</v>
      </c>
      <c r="GS219">
        <v>3</v>
      </c>
      <c r="GT219">
        <v>0</v>
      </c>
      <c r="GU219" t="s">
        <v>3</v>
      </c>
      <c r="GV219">
        <f>ROUND((GT219),6)</f>
        <v>0</v>
      </c>
      <c r="GW219">
        <v>1</v>
      </c>
      <c r="GX219">
        <f>ROUND(HC219*I219,2)</f>
        <v>0</v>
      </c>
      <c r="HA219">
        <v>0</v>
      </c>
      <c r="HB219">
        <v>0</v>
      </c>
      <c r="HC219">
        <f>GV219*GW219</f>
        <v>0</v>
      </c>
      <c r="IK219">
        <v>0</v>
      </c>
    </row>
    <row r="220" spans="1:245" x14ac:dyDescent="0.2">
      <c r="A220">
        <v>18</v>
      </c>
      <c r="B220">
        <v>1</v>
      </c>
      <c r="C220">
        <v>113</v>
      </c>
      <c r="E220" t="s">
        <v>211</v>
      </c>
      <c r="F220" t="s">
        <v>212</v>
      </c>
      <c r="G220" t="s">
        <v>213</v>
      </c>
      <c r="H220" t="s">
        <v>214</v>
      </c>
      <c r="I220">
        <f>I219*J220</f>
        <v>8</v>
      </c>
      <c r="J220">
        <v>10</v>
      </c>
      <c r="O220">
        <f>ROUND(CP220,2)</f>
        <v>23692.639999999999</v>
      </c>
      <c r="P220">
        <f>ROUND(CQ220*I220,2)</f>
        <v>23692.639999999999</v>
      </c>
      <c r="Q220">
        <f>ROUND(CR220*I220,2)</f>
        <v>0</v>
      </c>
      <c r="R220">
        <f>ROUND(CS220*I220,2)</f>
        <v>0</v>
      </c>
      <c r="S220">
        <f>ROUND(CT220*I220,2)</f>
        <v>0</v>
      </c>
      <c r="T220">
        <f>ROUND(CU220*I220,2)</f>
        <v>0</v>
      </c>
      <c r="U220">
        <f>CV220*I220</f>
        <v>0</v>
      </c>
      <c r="V220">
        <f>CW220*I220</f>
        <v>0</v>
      </c>
      <c r="W220">
        <f>ROUND(CX220*I220,2)</f>
        <v>0</v>
      </c>
      <c r="X220">
        <f t="shared" si="203"/>
        <v>0</v>
      </c>
      <c r="Y220">
        <f t="shared" si="203"/>
        <v>0</v>
      </c>
      <c r="AA220">
        <v>42184655</v>
      </c>
      <c r="AB220">
        <f>ROUND((AC220+AD220+AF220),6)</f>
        <v>2961.58</v>
      </c>
      <c r="AC220">
        <f>ROUND((ES220),6)</f>
        <v>2961.58</v>
      </c>
      <c r="AD220">
        <f>ROUND((((ET220)-(EU220))+AE220),6)</f>
        <v>0</v>
      </c>
      <c r="AE220">
        <f t="shared" si="204"/>
        <v>0</v>
      </c>
      <c r="AF220">
        <f t="shared" si="204"/>
        <v>0</v>
      </c>
      <c r="AG220">
        <f>ROUND((AP220),6)</f>
        <v>0</v>
      </c>
      <c r="AH220">
        <f t="shared" si="205"/>
        <v>0</v>
      </c>
      <c r="AI220">
        <f t="shared" si="205"/>
        <v>0</v>
      </c>
      <c r="AJ220">
        <f>(AS220)</f>
        <v>0</v>
      </c>
      <c r="AK220">
        <v>2961.58</v>
      </c>
      <c r="AL220">
        <v>2961.58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70</v>
      </c>
      <c r="AU220">
        <v>10</v>
      </c>
      <c r="AV220">
        <v>1</v>
      </c>
      <c r="AW220">
        <v>1</v>
      </c>
      <c r="AZ220">
        <v>1</v>
      </c>
      <c r="BA220">
        <v>1</v>
      </c>
      <c r="BB220">
        <v>1</v>
      </c>
      <c r="BC220">
        <v>1</v>
      </c>
      <c r="BD220" t="s">
        <v>3</v>
      </c>
      <c r="BE220" t="s">
        <v>3</v>
      </c>
      <c r="BF220" t="s">
        <v>3</v>
      </c>
      <c r="BG220" t="s">
        <v>3</v>
      </c>
      <c r="BH220">
        <v>3</v>
      </c>
      <c r="BI220">
        <v>4</v>
      </c>
      <c r="BJ220" t="s">
        <v>215</v>
      </c>
      <c r="BM220">
        <v>0</v>
      </c>
      <c r="BN220">
        <v>0</v>
      </c>
      <c r="BO220" t="s">
        <v>3</v>
      </c>
      <c r="BP220">
        <v>0</v>
      </c>
      <c r="BQ220">
        <v>1</v>
      </c>
      <c r="BR220">
        <v>0</v>
      </c>
      <c r="BS220">
        <v>1</v>
      </c>
      <c r="BT220">
        <v>1</v>
      </c>
      <c r="BU220">
        <v>1</v>
      </c>
      <c r="BV220">
        <v>1</v>
      </c>
      <c r="BW220">
        <v>1</v>
      </c>
      <c r="BX220">
        <v>1</v>
      </c>
      <c r="BY220" t="s">
        <v>3</v>
      </c>
      <c r="BZ220">
        <v>70</v>
      </c>
      <c r="CA220">
        <v>10</v>
      </c>
      <c r="CE220">
        <v>0</v>
      </c>
      <c r="CF220">
        <v>0</v>
      </c>
      <c r="CG220">
        <v>0</v>
      </c>
      <c r="CM220">
        <v>0</v>
      </c>
      <c r="CN220" t="s">
        <v>3</v>
      </c>
      <c r="CO220">
        <v>0</v>
      </c>
      <c r="CP220">
        <f>(P220+Q220+S220)</f>
        <v>23692.639999999999</v>
      </c>
      <c r="CQ220">
        <f>(AC220*BC220*AW220)</f>
        <v>2961.58</v>
      </c>
      <c r="CR220">
        <f>((((ET220)*BB220-(EU220)*BS220)+AE220*BS220)*AV220)</f>
        <v>0</v>
      </c>
      <c r="CS220">
        <f>(AE220*BS220*AV220)</f>
        <v>0</v>
      </c>
      <c r="CT220">
        <f>(AF220*BA220*AV220)</f>
        <v>0</v>
      </c>
      <c r="CU220">
        <f>AG220</f>
        <v>0</v>
      </c>
      <c r="CV220">
        <f>(AH220*AV220)</f>
        <v>0</v>
      </c>
      <c r="CW220">
        <f t="shared" si="206"/>
        <v>0</v>
      </c>
      <c r="CX220">
        <f t="shared" si="206"/>
        <v>0</v>
      </c>
      <c r="CY220">
        <f>((S220*BZ220)/100)</f>
        <v>0</v>
      </c>
      <c r="CZ220">
        <f>((S220*CA220)/100)</f>
        <v>0</v>
      </c>
      <c r="DC220" t="s">
        <v>3</v>
      </c>
      <c r="DD220" t="s">
        <v>3</v>
      </c>
      <c r="DE220" t="s">
        <v>3</v>
      </c>
      <c r="DF220" t="s">
        <v>3</v>
      </c>
      <c r="DG220" t="s">
        <v>3</v>
      </c>
      <c r="DH220" t="s">
        <v>3</v>
      </c>
      <c r="DI220" t="s">
        <v>3</v>
      </c>
      <c r="DJ220" t="s">
        <v>3</v>
      </c>
      <c r="DK220" t="s">
        <v>3</v>
      </c>
      <c r="DL220" t="s">
        <v>3</v>
      </c>
      <c r="DM220" t="s">
        <v>3</v>
      </c>
      <c r="DN220">
        <v>0</v>
      </c>
      <c r="DO220">
        <v>0</v>
      </c>
      <c r="DP220">
        <v>1</v>
      </c>
      <c r="DQ220">
        <v>1</v>
      </c>
      <c r="DU220">
        <v>1010</v>
      </c>
      <c r="DV220" t="s">
        <v>214</v>
      </c>
      <c r="DW220" t="s">
        <v>214</v>
      </c>
      <c r="DX220">
        <v>1</v>
      </c>
      <c r="EE220">
        <v>40658659</v>
      </c>
      <c r="EF220">
        <v>1</v>
      </c>
      <c r="EG220" t="s">
        <v>24</v>
      </c>
      <c r="EH220">
        <v>0</v>
      </c>
      <c r="EI220" t="s">
        <v>3</v>
      </c>
      <c r="EJ220">
        <v>4</v>
      </c>
      <c r="EK220">
        <v>0</v>
      </c>
      <c r="EL220" t="s">
        <v>25</v>
      </c>
      <c r="EM220" t="s">
        <v>26</v>
      </c>
      <c r="EO220" t="s">
        <v>3</v>
      </c>
      <c r="EQ220">
        <v>0</v>
      </c>
      <c r="ER220">
        <v>2961.58</v>
      </c>
      <c r="ES220">
        <v>2961.58</v>
      </c>
      <c r="ET220">
        <v>0</v>
      </c>
      <c r="EU220">
        <v>0</v>
      </c>
      <c r="EV220">
        <v>0</v>
      </c>
      <c r="EW220">
        <v>0</v>
      </c>
      <c r="EX220">
        <v>0</v>
      </c>
      <c r="FQ220">
        <v>0</v>
      </c>
      <c r="FR220">
        <f>ROUND(IF(AND(BH220=3,BI220=3),P220,0),2)</f>
        <v>0</v>
      </c>
      <c r="FS220">
        <v>0</v>
      </c>
      <c r="FX220">
        <v>70</v>
      </c>
      <c r="FY220">
        <v>10</v>
      </c>
      <c r="GA220" t="s">
        <v>3</v>
      </c>
      <c r="GD220">
        <v>0</v>
      </c>
      <c r="GF220">
        <v>-493034466</v>
      </c>
      <c r="GG220">
        <v>2</v>
      </c>
      <c r="GH220">
        <v>1</v>
      </c>
      <c r="GI220">
        <v>-2</v>
      </c>
      <c r="GJ220">
        <v>0</v>
      </c>
      <c r="GK220">
        <f>ROUND(R220*(R12)/100,2)</f>
        <v>0</v>
      </c>
      <c r="GL220">
        <f>ROUND(IF(AND(BH220=3,BI220=3,FS220&lt;&gt;0),P220,0),2)</f>
        <v>0</v>
      </c>
      <c r="GM220">
        <f>ROUND(O220+X220+Y220+GK220,2)+GX220</f>
        <v>23692.639999999999</v>
      </c>
      <c r="GN220">
        <f>IF(OR(BI220=0,BI220=1),ROUND(O220+X220+Y220+GK220,2),0)</f>
        <v>0</v>
      </c>
      <c r="GO220">
        <f>IF(BI220=2,ROUND(O220+X220+Y220+GK220,2),0)</f>
        <v>0</v>
      </c>
      <c r="GP220">
        <f>IF(BI220=4,ROUND(O220+X220+Y220+GK220,2)+GX220,0)</f>
        <v>23692.639999999999</v>
      </c>
      <c r="GR220">
        <v>0</v>
      </c>
      <c r="GS220">
        <v>3</v>
      </c>
      <c r="GT220">
        <v>0</v>
      </c>
      <c r="GU220" t="s">
        <v>3</v>
      </c>
      <c r="GV220">
        <f>ROUND((GT220),6)</f>
        <v>0</v>
      </c>
      <c r="GW220">
        <v>1</v>
      </c>
      <c r="GX220">
        <f>ROUND(HC220*I220,2)</f>
        <v>0</v>
      </c>
      <c r="HA220">
        <v>0</v>
      </c>
      <c r="HB220">
        <v>0</v>
      </c>
      <c r="HC220">
        <f>GV220*GW220</f>
        <v>0</v>
      </c>
      <c r="IK220">
        <v>0</v>
      </c>
    </row>
    <row r="221" spans="1:245" ht="13.5" customHeight="1" x14ac:dyDescent="0.2"/>
    <row r="222" spans="1:245" x14ac:dyDescent="0.2">
      <c r="A222" s="2">
        <v>51</v>
      </c>
      <c r="B222" s="2">
        <f>B213</f>
        <v>1</v>
      </c>
      <c r="C222" s="2">
        <f>A213</f>
        <v>4</v>
      </c>
      <c r="D222" s="2">
        <f>ROW(A213)</f>
        <v>213</v>
      </c>
      <c r="E222" s="2"/>
      <c r="F222" s="2" t="str">
        <f>IF(F213&lt;&gt;"",F213,"")</f>
        <v>Новый раздел</v>
      </c>
      <c r="G222" s="2" t="str">
        <f>IF(G213&lt;&gt;"",G213,"")</f>
        <v>22.1 Посадка деревьев с комо 0,8х0,6м, высотой от 3м - 8 шт.</v>
      </c>
      <c r="H222" s="2">
        <v>0</v>
      </c>
      <c r="I222" s="2"/>
      <c r="J222" s="2"/>
      <c r="K222" s="2"/>
      <c r="L222" s="2"/>
      <c r="M222" s="2"/>
      <c r="N222" s="2"/>
      <c r="O222" s="2">
        <f t="shared" ref="O222:T222" si="207">ROUND(AB222,2)</f>
        <v>41884.639999999999</v>
      </c>
      <c r="P222" s="2">
        <f t="shared" si="207"/>
        <v>29456.22</v>
      </c>
      <c r="Q222" s="2">
        <f t="shared" si="207"/>
        <v>1405.25</v>
      </c>
      <c r="R222" s="2">
        <f t="shared" si="207"/>
        <v>376.4</v>
      </c>
      <c r="S222" s="2">
        <f t="shared" si="207"/>
        <v>11023.17</v>
      </c>
      <c r="T222" s="2">
        <f t="shared" si="207"/>
        <v>0</v>
      </c>
      <c r="U222" s="2">
        <f>AH222</f>
        <v>55.788799999999995</v>
      </c>
      <c r="V222" s="2">
        <f>AI222</f>
        <v>0</v>
      </c>
      <c r="W222" s="2">
        <f>ROUND(AJ222,2)</f>
        <v>0</v>
      </c>
      <c r="X222" s="2">
        <f>ROUND(AK222,2)</f>
        <v>7716.22</v>
      </c>
      <c r="Y222" s="2">
        <f>ROUND(AL222,2)</f>
        <v>1102.32</v>
      </c>
      <c r="Z222" s="2"/>
      <c r="AA222" s="2"/>
      <c r="AB222" s="2">
        <f>ROUND(SUMIF(AA217:AA220,"=42184655",O217:O220),2)</f>
        <v>41884.639999999999</v>
      </c>
      <c r="AC222" s="2">
        <f>ROUND(SUMIF(AA217:AA220,"=42184655",P217:P220),2)</f>
        <v>29456.22</v>
      </c>
      <c r="AD222" s="2">
        <f>ROUND(SUMIF(AA217:AA220,"=42184655",Q217:Q220),2)</f>
        <v>1405.25</v>
      </c>
      <c r="AE222" s="2">
        <f>ROUND(SUMIF(AA217:AA220,"=42184655",R217:R220),2)</f>
        <v>376.4</v>
      </c>
      <c r="AF222" s="2">
        <f>ROUND(SUMIF(AA217:AA220,"=42184655",S217:S220),2)</f>
        <v>11023.17</v>
      </c>
      <c r="AG222" s="2">
        <f>ROUND(SUMIF(AA217:AA220,"=42184655",T217:T220),2)</f>
        <v>0</v>
      </c>
      <c r="AH222" s="2">
        <f>SUMIF(AA217:AA220,"=42184655",U217:U220)</f>
        <v>55.788799999999995</v>
      </c>
      <c r="AI222" s="2">
        <f>SUMIF(AA217:AA220,"=42184655",V217:V220)</f>
        <v>0</v>
      </c>
      <c r="AJ222" s="2">
        <f>ROUND(SUMIF(AA217:AA220,"=42184655",W217:W220),2)</f>
        <v>0</v>
      </c>
      <c r="AK222" s="2">
        <f>ROUND(SUMIF(AA217:AA220,"=42184655",X217:X220),2)</f>
        <v>7716.22</v>
      </c>
      <c r="AL222" s="2">
        <f>ROUND(SUMIF(AA217:AA220,"=42184655",Y217:Y220),2)</f>
        <v>1102.32</v>
      </c>
      <c r="AM222" s="2"/>
      <c r="AN222" s="2"/>
      <c r="AO222" s="2">
        <f t="shared" ref="AO222:BC222" si="208">ROUND(BX222,2)</f>
        <v>0</v>
      </c>
      <c r="AP222" s="2">
        <f t="shared" si="208"/>
        <v>0</v>
      </c>
      <c r="AQ222" s="2">
        <f t="shared" si="208"/>
        <v>0</v>
      </c>
      <c r="AR222" s="2">
        <f t="shared" si="208"/>
        <v>51109.69</v>
      </c>
      <c r="AS222" s="2">
        <f t="shared" si="208"/>
        <v>0</v>
      </c>
      <c r="AT222" s="2">
        <f t="shared" si="208"/>
        <v>0</v>
      </c>
      <c r="AU222" s="2">
        <f t="shared" si="208"/>
        <v>51109.69</v>
      </c>
      <c r="AV222" s="2">
        <f t="shared" si="208"/>
        <v>29456.22</v>
      </c>
      <c r="AW222" s="2">
        <f t="shared" si="208"/>
        <v>29456.22</v>
      </c>
      <c r="AX222" s="2">
        <f t="shared" si="208"/>
        <v>0</v>
      </c>
      <c r="AY222" s="2">
        <f t="shared" si="208"/>
        <v>29456.22</v>
      </c>
      <c r="AZ222" s="2">
        <f t="shared" si="208"/>
        <v>0</v>
      </c>
      <c r="BA222" s="2">
        <f t="shared" si="208"/>
        <v>0</v>
      </c>
      <c r="BB222" s="2">
        <f t="shared" si="208"/>
        <v>0</v>
      </c>
      <c r="BC222" s="2">
        <f t="shared" si="208"/>
        <v>0</v>
      </c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>
        <f>ROUND(SUMIF(AA217:AA220,"=42184655",FQ217:FQ220),2)</f>
        <v>0</v>
      </c>
      <c r="BY222" s="2">
        <f>ROUND(SUMIF(AA217:AA220,"=42184655",FR217:FR220),2)</f>
        <v>0</v>
      </c>
      <c r="BZ222" s="2">
        <f>ROUND(SUMIF(AA217:AA220,"=42184655",GL217:GL220),2)</f>
        <v>0</v>
      </c>
      <c r="CA222" s="2">
        <f>ROUND(SUMIF(AA217:AA220,"=42184655",GM217:GM220),2)</f>
        <v>51109.69</v>
      </c>
      <c r="CB222" s="2">
        <f>ROUND(SUMIF(AA217:AA220,"=42184655",GN217:GN220),2)</f>
        <v>0</v>
      </c>
      <c r="CC222" s="2">
        <f>ROUND(SUMIF(AA217:AA220,"=42184655",GO217:GO220),2)</f>
        <v>0</v>
      </c>
      <c r="CD222" s="2">
        <f>ROUND(SUMIF(AA217:AA220,"=42184655",GP217:GP220),2)</f>
        <v>51109.69</v>
      </c>
      <c r="CE222" s="2">
        <f>AC222-BX222</f>
        <v>29456.22</v>
      </c>
      <c r="CF222" s="2">
        <f>AC222-BY222</f>
        <v>29456.22</v>
      </c>
      <c r="CG222" s="2">
        <f>BX222-BZ222</f>
        <v>0</v>
      </c>
      <c r="CH222" s="2">
        <f>AC222-BX222-BY222+BZ222</f>
        <v>29456.22</v>
      </c>
      <c r="CI222" s="2">
        <f>BY222-BZ222</f>
        <v>0</v>
      </c>
      <c r="CJ222" s="2">
        <f>ROUND(SUMIF(AA217:AA220,"=42184655",GX217:GX220),2)</f>
        <v>0</v>
      </c>
      <c r="CK222" s="2">
        <f>ROUND(SUMIF(AA217:AA220,"=42184655",GY217:GY220),2)</f>
        <v>0</v>
      </c>
      <c r="CL222" s="2">
        <f>ROUND(SUMIF(AA217:AA220,"=42184655",GZ217:GZ220),2)</f>
        <v>0</v>
      </c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>
        <v>0</v>
      </c>
    </row>
    <row r="224" spans="1:245" x14ac:dyDescent="0.2">
      <c r="A224" s="4">
        <v>50</v>
      </c>
      <c r="B224" s="4">
        <v>0</v>
      </c>
      <c r="C224" s="4">
        <v>0</v>
      </c>
      <c r="D224" s="4">
        <v>1</v>
      </c>
      <c r="E224" s="4">
        <v>201</v>
      </c>
      <c r="F224" s="4">
        <f>ROUND(Source!O222,O224)</f>
        <v>41884.639999999999</v>
      </c>
      <c r="G224" s="4" t="s">
        <v>71</v>
      </c>
      <c r="H224" s="4" t="s">
        <v>72</v>
      </c>
      <c r="I224" s="4"/>
      <c r="J224" s="4"/>
      <c r="K224" s="4">
        <v>201</v>
      </c>
      <c r="L224" s="4">
        <v>1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0</v>
      </c>
      <c r="C225" s="4">
        <v>0</v>
      </c>
      <c r="D225" s="4">
        <v>1</v>
      </c>
      <c r="E225" s="4">
        <v>202</v>
      </c>
      <c r="F225" s="4">
        <f>ROUND(Source!P222,O225)</f>
        <v>29456.22</v>
      </c>
      <c r="G225" s="4" t="s">
        <v>73</v>
      </c>
      <c r="H225" s="4" t="s">
        <v>74</v>
      </c>
      <c r="I225" s="4"/>
      <c r="J225" s="4"/>
      <c r="K225" s="4">
        <v>202</v>
      </c>
      <c r="L225" s="4">
        <v>2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0</v>
      </c>
      <c r="C226" s="4">
        <v>0</v>
      </c>
      <c r="D226" s="4">
        <v>1</v>
      </c>
      <c r="E226" s="4">
        <v>222</v>
      </c>
      <c r="F226" s="4">
        <f>ROUND(Source!AO222,O226)</f>
        <v>0</v>
      </c>
      <c r="G226" s="4" t="s">
        <v>75</v>
      </c>
      <c r="H226" s="4" t="s">
        <v>76</v>
      </c>
      <c r="I226" s="4"/>
      <c r="J226" s="4"/>
      <c r="K226" s="4">
        <v>222</v>
      </c>
      <c r="L226" s="4">
        <v>3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0</v>
      </c>
      <c r="C227" s="4">
        <v>0</v>
      </c>
      <c r="D227" s="4">
        <v>1</v>
      </c>
      <c r="E227" s="4">
        <v>225</v>
      </c>
      <c r="F227" s="4">
        <f>ROUND(Source!AV222,O227)</f>
        <v>29456.22</v>
      </c>
      <c r="G227" s="4" t="s">
        <v>77</v>
      </c>
      <c r="H227" s="4" t="s">
        <v>78</v>
      </c>
      <c r="I227" s="4"/>
      <c r="J227" s="4"/>
      <c r="K227" s="4">
        <v>225</v>
      </c>
      <c r="L227" s="4">
        <v>4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2">
      <c r="A228" s="4">
        <v>50</v>
      </c>
      <c r="B228" s="4">
        <v>0</v>
      </c>
      <c r="C228" s="4">
        <v>0</v>
      </c>
      <c r="D228" s="4">
        <v>1</v>
      </c>
      <c r="E228" s="4">
        <v>226</v>
      </c>
      <c r="F228" s="4">
        <f>ROUND(Source!AW222,O228)</f>
        <v>29456.22</v>
      </c>
      <c r="G228" s="4" t="s">
        <v>79</v>
      </c>
      <c r="H228" s="4" t="s">
        <v>80</v>
      </c>
      <c r="I228" s="4"/>
      <c r="J228" s="4"/>
      <c r="K228" s="4">
        <v>226</v>
      </c>
      <c r="L228" s="4">
        <v>5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2">
      <c r="A229" s="4">
        <v>50</v>
      </c>
      <c r="B229" s="4">
        <v>0</v>
      </c>
      <c r="C229" s="4">
        <v>0</v>
      </c>
      <c r="D229" s="4">
        <v>1</v>
      </c>
      <c r="E229" s="4">
        <v>227</v>
      </c>
      <c r="F229" s="4">
        <f>ROUND(Source!AX222,O229)</f>
        <v>0</v>
      </c>
      <c r="G229" s="4" t="s">
        <v>81</v>
      </c>
      <c r="H229" s="4" t="s">
        <v>82</v>
      </c>
      <c r="I229" s="4"/>
      <c r="J229" s="4"/>
      <c r="K229" s="4">
        <v>227</v>
      </c>
      <c r="L229" s="4">
        <v>6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2">
      <c r="A230" s="4">
        <v>50</v>
      </c>
      <c r="B230" s="4">
        <v>0</v>
      </c>
      <c r="C230" s="4">
        <v>0</v>
      </c>
      <c r="D230" s="4">
        <v>1</v>
      </c>
      <c r="E230" s="4">
        <v>228</v>
      </c>
      <c r="F230" s="4">
        <f>ROUND(Source!AY222,O230)</f>
        <v>29456.22</v>
      </c>
      <c r="G230" s="4" t="s">
        <v>83</v>
      </c>
      <c r="H230" s="4" t="s">
        <v>84</v>
      </c>
      <c r="I230" s="4"/>
      <c r="J230" s="4"/>
      <c r="K230" s="4">
        <v>228</v>
      </c>
      <c r="L230" s="4">
        <v>7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2">
      <c r="A231" s="4">
        <v>50</v>
      </c>
      <c r="B231" s="4">
        <v>0</v>
      </c>
      <c r="C231" s="4">
        <v>0</v>
      </c>
      <c r="D231" s="4">
        <v>1</v>
      </c>
      <c r="E231" s="4">
        <v>216</v>
      </c>
      <c r="F231" s="4">
        <f>ROUND(Source!AP222,O231)</f>
        <v>0</v>
      </c>
      <c r="G231" s="4" t="s">
        <v>85</v>
      </c>
      <c r="H231" s="4" t="s">
        <v>86</v>
      </c>
      <c r="I231" s="4"/>
      <c r="J231" s="4"/>
      <c r="K231" s="4">
        <v>216</v>
      </c>
      <c r="L231" s="4">
        <v>8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2">
      <c r="A232" s="4">
        <v>50</v>
      </c>
      <c r="B232" s="4">
        <v>0</v>
      </c>
      <c r="C232" s="4">
        <v>0</v>
      </c>
      <c r="D232" s="4">
        <v>1</v>
      </c>
      <c r="E232" s="4">
        <v>223</v>
      </c>
      <c r="F232" s="4">
        <f>ROUND(Source!AQ222,O232)</f>
        <v>0</v>
      </c>
      <c r="G232" s="4" t="s">
        <v>87</v>
      </c>
      <c r="H232" s="4" t="s">
        <v>88</v>
      </c>
      <c r="I232" s="4"/>
      <c r="J232" s="4"/>
      <c r="K232" s="4">
        <v>223</v>
      </c>
      <c r="L232" s="4">
        <v>9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2">
      <c r="A233" s="4">
        <v>50</v>
      </c>
      <c r="B233" s="4">
        <v>0</v>
      </c>
      <c r="C233" s="4">
        <v>0</v>
      </c>
      <c r="D233" s="4">
        <v>1</v>
      </c>
      <c r="E233" s="4">
        <v>229</v>
      </c>
      <c r="F233" s="4">
        <f>ROUND(Source!AZ222,O233)</f>
        <v>0</v>
      </c>
      <c r="G233" s="4" t="s">
        <v>89</v>
      </c>
      <c r="H233" s="4" t="s">
        <v>90</v>
      </c>
      <c r="I233" s="4"/>
      <c r="J233" s="4"/>
      <c r="K233" s="4">
        <v>229</v>
      </c>
      <c r="L233" s="4">
        <v>10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2">
      <c r="A234" s="4">
        <v>50</v>
      </c>
      <c r="B234" s="4">
        <v>0</v>
      </c>
      <c r="C234" s="4">
        <v>0</v>
      </c>
      <c r="D234" s="4">
        <v>1</v>
      </c>
      <c r="E234" s="4">
        <v>203</v>
      </c>
      <c r="F234" s="4">
        <f>ROUND(Source!Q222,O234)</f>
        <v>1405.25</v>
      </c>
      <c r="G234" s="4" t="s">
        <v>91</v>
      </c>
      <c r="H234" s="4" t="s">
        <v>92</v>
      </c>
      <c r="I234" s="4"/>
      <c r="J234" s="4"/>
      <c r="K234" s="4">
        <v>203</v>
      </c>
      <c r="L234" s="4">
        <v>11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2">
      <c r="A235" s="4">
        <v>50</v>
      </c>
      <c r="B235" s="4">
        <v>0</v>
      </c>
      <c r="C235" s="4">
        <v>0</v>
      </c>
      <c r="D235" s="4">
        <v>1</v>
      </c>
      <c r="E235" s="4">
        <v>231</v>
      </c>
      <c r="F235" s="4">
        <f>ROUND(Source!BB222,O235)</f>
        <v>0</v>
      </c>
      <c r="G235" s="4" t="s">
        <v>93</v>
      </c>
      <c r="H235" s="4" t="s">
        <v>94</v>
      </c>
      <c r="I235" s="4"/>
      <c r="J235" s="4"/>
      <c r="K235" s="4">
        <v>231</v>
      </c>
      <c r="L235" s="4">
        <v>12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2">
      <c r="A236" s="4">
        <v>50</v>
      </c>
      <c r="B236" s="4">
        <v>0</v>
      </c>
      <c r="C236" s="4">
        <v>0</v>
      </c>
      <c r="D236" s="4">
        <v>1</v>
      </c>
      <c r="E236" s="4">
        <v>204</v>
      </c>
      <c r="F236" s="4">
        <f>ROUND(Source!R222,O236)</f>
        <v>376.4</v>
      </c>
      <c r="G236" s="4" t="s">
        <v>95</v>
      </c>
      <c r="H236" s="4" t="s">
        <v>96</v>
      </c>
      <c r="I236" s="4"/>
      <c r="J236" s="4"/>
      <c r="K236" s="4">
        <v>204</v>
      </c>
      <c r="L236" s="4">
        <v>13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2">
      <c r="A237" s="4">
        <v>50</v>
      </c>
      <c r="B237" s="4">
        <v>0</v>
      </c>
      <c r="C237" s="4">
        <v>0</v>
      </c>
      <c r="D237" s="4">
        <v>1</v>
      </c>
      <c r="E237" s="4">
        <v>205</v>
      </c>
      <c r="F237" s="4">
        <f>ROUND(Source!S222,O237)</f>
        <v>11023.17</v>
      </c>
      <c r="G237" s="4" t="s">
        <v>97</v>
      </c>
      <c r="H237" s="4" t="s">
        <v>98</v>
      </c>
      <c r="I237" s="4"/>
      <c r="J237" s="4"/>
      <c r="K237" s="4">
        <v>205</v>
      </c>
      <c r="L237" s="4">
        <v>14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2">
      <c r="A238" s="4">
        <v>50</v>
      </c>
      <c r="B238" s="4">
        <v>0</v>
      </c>
      <c r="C238" s="4">
        <v>0</v>
      </c>
      <c r="D238" s="4">
        <v>1</v>
      </c>
      <c r="E238" s="4">
        <v>232</v>
      </c>
      <c r="F238" s="4">
        <f>ROUND(Source!BC222,O238)</f>
        <v>0</v>
      </c>
      <c r="G238" s="4" t="s">
        <v>99</v>
      </c>
      <c r="H238" s="4" t="s">
        <v>100</v>
      </c>
      <c r="I238" s="4"/>
      <c r="J238" s="4"/>
      <c r="K238" s="4">
        <v>232</v>
      </c>
      <c r="L238" s="4">
        <v>15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2">
      <c r="A239" s="4">
        <v>50</v>
      </c>
      <c r="B239" s="4">
        <v>0</v>
      </c>
      <c r="C239" s="4">
        <v>0</v>
      </c>
      <c r="D239" s="4">
        <v>1</v>
      </c>
      <c r="E239" s="4">
        <v>214</v>
      </c>
      <c r="F239" s="4">
        <f>ROUND(Source!AS222,O239)</f>
        <v>0</v>
      </c>
      <c r="G239" s="4" t="s">
        <v>101</v>
      </c>
      <c r="H239" s="4" t="s">
        <v>102</v>
      </c>
      <c r="I239" s="4"/>
      <c r="J239" s="4"/>
      <c r="K239" s="4">
        <v>214</v>
      </c>
      <c r="L239" s="4">
        <v>16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2">
      <c r="A240" s="4">
        <v>50</v>
      </c>
      <c r="B240" s="4">
        <v>0</v>
      </c>
      <c r="C240" s="4">
        <v>0</v>
      </c>
      <c r="D240" s="4">
        <v>1</v>
      </c>
      <c r="E240" s="4">
        <v>215</v>
      </c>
      <c r="F240" s="4">
        <f>ROUND(Source!AT222,O240)</f>
        <v>0</v>
      </c>
      <c r="G240" s="4" t="s">
        <v>103</v>
      </c>
      <c r="H240" s="4" t="s">
        <v>104</v>
      </c>
      <c r="I240" s="4"/>
      <c r="J240" s="4"/>
      <c r="K240" s="4">
        <v>215</v>
      </c>
      <c r="L240" s="4">
        <v>17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45" x14ac:dyDescent="0.2">
      <c r="A241" s="4">
        <v>50</v>
      </c>
      <c r="B241" s="4">
        <v>0</v>
      </c>
      <c r="C241" s="4">
        <v>0</v>
      </c>
      <c r="D241" s="4">
        <v>1</v>
      </c>
      <c r="E241" s="4">
        <v>217</v>
      </c>
      <c r="F241" s="4">
        <f>ROUND(Source!AU222,O241)</f>
        <v>51109.69</v>
      </c>
      <c r="G241" s="4" t="s">
        <v>105</v>
      </c>
      <c r="H241" s="4" t="s">
        <v>106</v>
      </c>
      <c r="I241" s="4"/>
      <c r="J241" s="4"/>
      <c r="K241" s="4">
        <v>217</v>
      </c>
      <c r="L241" s="4">
        <v>18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45" x14ac:dyDescent="0.2">
      <c r="A242" s="4">
        <v>50</v>
      </c>
      <c r="B242" s="4">
        <v>0</v>
      </c>
      <c r="C242" s="4">
        <v>0</v>
      </c>
      <c r="D242" s="4">
        <v>1</v>
      </c>
      <c r="E242" s="4">
        <v>230</v>
      </c>
      <c r="F242" s="4">
        <f>ROUND(Source!BA222,O242)</f>
        <v>0</v>
      </c>
      <c r="G242" s="4" t="s">
        <v>107</v>
      </c>
      <c r="H242" s="4" t="s">
        <v>108</v>
      </c>
      <c r="I242" s="4"/>
      <c r="J242" s="4"/>
      <c r="K242" s="4">
        <v>230</v>
      </c>
      <c r="L242" s="4">
        <v>19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45" x14ac:dyDescent="0.2">
      <c r="A243" s="4">
        <v>50</v>
      </c>
      <c r="B243" s="4">
        <v>0</v>
      </c>
      <c r="C243" s="4">
        <v>0</v>
      </c>
      <c r="D243" s="4">
        <v>1</v>
      </c>
      <c r="E243" s="4">
        <v>206</v>
      </c>
      <c r="F243" s="4">
        <f>ROUND(Source!T222,O243)</f>
        <v>0</v>
      </c>
      <c r="G243" s="4" t="s">
        <v>109</v>
      </c>
      <c r="H243" s="4" t="s">
        <v>110</v>
      </c>
      <c r="I243" s="4"/>
      <c r="J243" s="4"/>
      <c r="K243" s="4">
        <v>206</v>
      </c>
      <c r="L243" s="4">
        <v>20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45" x14ac:dyDescent="0.2">
      <c r="A244" s="4">
        <v>50</v>
      </c>
      <c r="B244" s="4">
        <v>0</v>
      </c>
      <c r="C244" s="4">
        <v>0</v>
      </c>
      <c r="D244" s="4">
        <v>1</v>
      </c>
      <c r="E244" s="4">
        <v>207</v>
      </c>
      <c r="F244" s="4">
        <f>Source!U222</f>
        <v>55.788799999999995</v>
      </c>
      <c r="G244" s="4" t="s">
        <v>111</v>
      </c>
      <c r="H244" s="4" t="s">
        <v>112</v>
      </c>
      <c r="I244" s="4"/>
      <c r="J244" s="4"/>
      <c r="K244" s="4">
        <v>207</v>
      </c>
      <c r="L244" s="4">
        <v>21</v>
      </c>
      <c r="M244" s="4">
        <v>3</v>
      </c>
      <c r="N244" s="4" t="s">
        <v>3</v>
      </c>
      <c r="O244" s="4">
        <v>-1</v>
      </c>
      <c r="P244" s="4"/>
      <c r="Q244" s="4"/>
      <c r="R244" s="4"/>
      <c r="S244" s="4"/>
      <c r="T244" s="4"/>
      <c r="U244" s="4"/>
      <c r="V244" s="4"/>
      <c r="W244" s="4"/>
    </row>
    <row r="245" spans="1:245" x14ac:dyDescent="0.2">
      <c r="A245" s="4">
        <v>50</v>
      </c>
      <c r="B245" s="4">
        <v>0</v>
      </c>
      <c r="C245" s="4">
        <v>0</v>
      </c>
      <c r="D245" s="4">
        <v>1</v>
      </c>
      <c r="E245" s="4">
        <v>208</v>
      </c>
      <c r="F245" s="4">
        <f>Source!V222</f>
        <v>0</v>
      </c>
      <c r="G245" s="4" t="s">
        <v>113</v>
      </c>
      <c r="H245" s="4" t="s">
        <v>114</v>
      </c>
      <c r="I245" s="4"/>
      <c r="J245" s="4"/>
      <c r="K245" s="4">
        <v>208</v>
      </c>
      <c r="L245" s="4">
        <v>22</v>
      </c>
      <c r="M245" s="4">
        <v>3</v>
      </c>
      <c r="N245" s="4" t="s">
        <v>3</v>
      </c>
      <c r="O245" s="4">
        <v>-1</v>
      </c>
      <c r="P245" s="4"/>
      <c r="Q245" s="4"/>
      <c r="R245" s="4"/>
      <c r="S245" s="4"/>
      <c r="T245" s="4"/>
      <c r="U245" s="4"/>
      <c r="V245" s="4"/>
      <c r="W245" s="4"/>
    </row>
    <row r="246" spans="1:245" x14ac:dyDescent="0.2">
      <c r="A246" s="4">
        <v>50</v>
      </c>
      <c r="B246" s="4">
        <v>0</v>
      </c>
      <c r="C246" s="4">
        <v>0</v>
      </c>
      <c r="D246" s="4">
        <v>1</v>
      </c>
      <c r="E246" s="4">
        <v>209</v>
      </c>
      <c r="F246" s="4">
        <f>ROUND(Source!W222,O246)</f>
        <v>0</v>
      </c>
      <c r="G246" s="4" t="s">
        <v>115</v>
      </c>
      <c r="H246" s="4" t="s">
        <v>116</v>
      </c>
      <c r="I246" s="4"/>
      <c r="J246" s="4"/>
      <c r="K246" s="4">
        <v>209</v>
      </c>
      <c r="L246" s="4">
        <v>23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45" x14ac:dyDescent="0.2">
      <c r="A247" s="4">
        <v>50</v>
      </c>
      <c r="B247" s="4">
        <v>0</v>
      </c>
      <c r="C247" s="4">
        <v>0</v>
      </c>
      <c r="D247" s="4">
        <v>1</v>
      </c>
      <c r="E247" s="4">
        <v>210</v>
      </c>
      <c r="F247" s="4">
        <f>ROUND(Source!X222,O247)</f>
        <v>7716.22</v>
      </c>
      <c r="G247" s="4" t="s">
        <v>117</v>
      </c>
      <c r="H247" s="4" t="s">
        <v>118</v>
      </c>
      <c r="I247" s="4"/>
      <c r="J247" s="4"/>
      <c r="K247" s="4">
        <v>210</v>
      </c>
      <c r="L247" s="4">
        <v>24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45" x14ac:dyDescent="0.2">
      <c r="A248" s="4">
        <v>50</v>
      </c>
      <c r="B248" s="4">
        <v>0</v>
      </c>
      <c r="C248" s="4">
        <v>0</v>
      </c>
      <c r="D248" s="4">
        <v>1</v>
      </c>
      <c r="E248" s="4">
        <v>211</v>
      </c>
      <c r="F248" s="4">
        <f>ROUND(Source!Y222,O248)</f>
        <v>1102.32</v>
      </c>
      <c r="G248" s="4" t="s">
        <v>119</v>
      </c>
      <c r="H248" s="4" t="s">
        <v>120</v>
      </c>
      <c r="I248" s="4"/>
      <c r="J248" s="4"/>
      <c r="K248" s="4">
        <v>211</v>
      </c>
      <c r="L248" s="4">
        <v>25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45" x14ac:dyDescent="0.2">
      <c r="A249" s="4">
        <v>50</v>
      </c>
      <c r="B249" s="4">
        <v>0</v>
      </c>
      <c r="C249" s="4">
        <v>0</v>
      </c>
      <c r="D249" s="4">
        <v>1</v>
      </c>
      <c r="E249" s="4">
        <v>224</v>
      </c>
      <c r="F249" s="4">
        <f>ROUND(Source!AR222,O249)</f>
        <v>51109.69</v>
      </c>
      <c r="G249" s="4" t="s">
        <v>121</v>
      </c>
      <c r="H249" s="4" t="s">
        <v>122</v>
      </c>
      <c r="I249" s="4"/>
      <c r="J249" s="4"/>
      <c r="K249" s="4">
        <v>224</v>
      </c>
      <c r="L249" s="4">
        <v>26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1" spans="1:245" x14ac:dyDescent="0.2">
      <c r="A251" s="1">
        <v>4</v>
      </c>
      <c r="B251" s="1">
        <v>1</v>
      </c>
      <c r="C251" s="1"/>
      <c r="D251" s="1">
        <f>ROW(A260)</f>
        <v>260</v>
      </c>
      <c r="E251" s="1"/>
      <c r="F251" s="1" t="s">
        <v>17</v>
      </c>
      <c r="G251" s="1" t="s">
        <v>526</v>
      </c>
      <c r="H251" s="1" t="s">
        <v>3</v>
      </c>
      <c r="I251" s="1">
        <v>0</v>
      </c>
      <c r="J251" s="1"/>
      <c r="K251" s="1">
        <v>-1</v>
      </c>
      <c r="L251" s="1"/>
      <c r="M251" s="1"/>
      <c r="N251" s="1"/>
      <c r="O251" s="1"/>
      <c r="P251" s="1"/>
      <c r="Q251" s="1"/>
      <c r="R251" s="1"/>
      <c r="S251" s="1"/>
      <c r="T251" s="1"/>
      <c r="U251" s="1" t="s">
        <v>3</v>
      </c>
      <c r="V251" s="1">
        <v>0</v>
      </c>
      <c r="W251" s="1"/>
      <c r="X251" s="1"/>
      <c r="Y251" s="1"/>
      <c r="Z251" s="1"/>
      <c r="AA251" s="1"/>
      <c r="AB251" s="1" t="s">
        <v>3</v>
      </c>
      <c r="AC251" s="1" t="s">
        <v>3</v>
      </c>
      <c r="AD251" s="1" t="s">
        <v>3</v>
      </c>
      <c r="AE251" s="1" t="s">
        <v>3</v>
      </c>
      <c r="AF251" s="1" t="s">
        <v>3</v>
      </c>
      <c r="AG251" s="1" t="s">
        <v>3</v>
      </c>
      <c r="AH251" s="1"/>
      <c r="AI251" s="1"/>
      <c r="AJ251" s="1"/>
      <c r="AK251" s="1"/>
      <c r="AL251" s="1"/>
      <c r="AM251" s="1"/>
      <c r="AN251" s="1"/>
      <c r="AO251" s="1"/>
      <c r="AP251" s="1" t="s">
        <v>3</v>
      </c>
      <c r="AQ251" s="1" t="s">
        <v>3</v>
      </c>
      <c r="AR251" s="1" t="s">
        <v>3</v>
      </c>
      <c r="AS251" s="1"/>
      <c r="AT251" s="1"/>
      <c r="AU251" s="1"/>
      <c r="AV251" s="1"/>
      <c r="AW251" s="1"/>
      <c r="AX251" s="1"/>
      <c r="AY251" s="1"/>
      <c r="AZ251" s="1" t="s">
        <v>3</v>
      </c>
      <c r="BA251" s="1"/>
      <c r="BB251" s="1" t="s">
        <v>3</v>
      </c>
      <c r="BC251" s="1" t="s">
        <v>3</v>
      </c>
      <c r="BD251" s="1" t="s">
        <v>3</v>
      </c>
      <c r="BE251" s="1" t="s">
        <v>3</v>
      </c>
      <c r="BF251" s="1" t="s">
        <v>3</v>
      </c>
      <c r="BG251" s="1" t="s">
        <v>3</v>
      </c>
      <c r="BH251" s="1" t="s">
        <v>3</v>
      </c>
      <c r="BI251" s="1" t="s">
        <v>3</v>
      </c>
      <c r="BJ251" s="1" t="s">
        <v>3</v>
      </c>
      <c r="BK251" s="1" t="s">
        <v>3</v>
      </c>
      <c r="BL251" s="1" t="s">
        <v>3</v>
      </c>
      <c r="BM251" s="1" t="s">
        <v>3</v>
      </c>
      <c r="BN251" s="1" t="s">
        <v>3</v>
      </c>
      <c r="BO251" s="1" t="s">
        <v>3</v>
      </c>
      <c r="BP251" s="1" t="s">
        <v>3</v>
      </c>
      <c r="BQ251" s="1"/>
      <c r="BR251" s="1"/>
      <c r="BS251" s="1"/>
      <c r="BT251" s="1"/>
      <c r="BU251" s="1"/>
      <c r="BV251" s="1"/>
      <c r="BW251" s="1"/>
      <c r="BX251" s="1">
        <v>0</v>
      </c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>
        <v>0</v>
      </c>
    </row>
    <row r="253" spans="1:245" x14ac:dyDescent="0.2">
      <c r="A253" s="2">
        <v>52</v>
      </c>
      <c r="B253" s="2">
        <f t="shared" ref="B253:G253" si="209">B260</f>
        <v>1</v>
      </c>
      <c r="C253" s="2">
        <f t="shared" si="209"/>
        <v>4</v>
      </c>
      <c r="D253" s="2">
        <f t="shared" si="209"/>
        <v>251</v>
      </c>
      <c r="E253" s="2">
        <f t="shared" si="209"/>
        <v>0</v>
      </c>
      <c r="F253" s="2" t="str">
        <f t="shared" si="209"/>
        <v>Новый раздел</v>
      </c>
      <c r="G253" s="2" t="str">
        <f t="shared" si="209"/>
        <v xml:space="preserve">Раздел 24.1 Устройство покрытия на площадке для игровых видов спорта (1 см - EPDM) </v>
      </c>
      <c r="H253" s="2"/>
      <c r="I253" s="2"/>
      <c r="J253" s="2"/>
      <c r="K253" s="2"/>
      <c r="L253" s="2"/>
      <c r="M253" s="2"/>
      <c r="N253" s="2"/>
      <c r="O253" s="2">
        <f t="shared" ref="O253:AT253" si="210">O260</f>
        <v>2317622.13</v>
      </c>
      <c r="P253" s="2">
        <f t="shared" si="210"/>
        <v>2223907.81</v>
      </c>
      <c r="Q253" s="2">
        <f t="shared" si="210"/>
        <v>36641.5</v>
      </c>
      <c r="R253" s="2">
        <f t="shared" si="210"/>
        <v>28888.44</v>
      </c>
      <c r="S253" s="2">
        <f t="shared" si="210"/>
        <v>57072.82</v>
      </c>
      <c r="T253" s="2">
        <f t="shared" si="210"/>
        <v>0</v>
      </c>
      <c r="U253" s="2">
        <f t="shared" si="210"/>
        <v>258.16000000000003</v>
      </c>
      <c r="V253" s="2">
        <f t="shared" si="210"/>
        <v>0</v>
      </c>
      <c r="W253" s="2">
        <f t="shared" si="210"/>
        <v>0</v>
      </c>
      <c r="X253" s="2">
        <f t="shared" si="210"/>
        <v>39950.97</v>
      </c>
      <c r="Y253" s="2">
        <f t="shared" si="210"/>
        <v>5707.28</v>
      </c>
      <c r="Z253" s="2">
        <f t="shared" si="210"/>
        <v>0</v>
      </c>
      <c r="AA253" s="2">
        <f t="shared" si="210"/>
        <v>0</v>
      </c>
      <c r="AB253" s="2">
        <f t="shared" si="210"/>
        <v>2317622.13</v>
      </c>
      <c r="AC253" s="2">
        <f t="shared" si="210"/>
        <v>2223907.81</v>
      </c>
      <c r="AD253" s="2">
        <f t="shared" si="210"/>
        <v>36641.5</v>
      </c>
      <c r="AE253" s="2">
        <f t="shared" si="210"/>
        <v>28888.44</v>
      </c>
      <c r="AF253" s="2">
        <f t="shared" si="210"/>
        <v>57072.82</v>
      </c>
      <c r="AG253" s="2">
        <f t="shared" si="210"/>
        <v>0</v>
      </c>
      <c r="AH253" s="2">
        <f t="shared" si="210"/>
        <v>258.16000000000003</v>
      </c>
      <c r="AI253" s="2">
        <f t="shared" si="210"/>
        <v>0</v>
      </c>
      <c r="AJ253" s="2">
        <f t="shared" si="210"/>
        <v>0</v>
      </c>
      <c r="AK253" s="2">
        <f t="shared" si="210"/>
        <v>39950.97</v>
      </c>
      <c r="AL253" s="2">
        <f t="shared" si="210"/>
        <v>5707.28</v>
      </c>
      <c r="AM253" s="2">
        <f t="shared" si="210"/>
        <v>0</v>
      </c>
      <c r="AN253" s="2">
        <f t="shared" si="210"/>
        <v>0</v>
      </c>
      <c r="AO253" s="2">
        <f t="shared" si="210"/>
        <v>0</v>
      </c>
      <c r="AP253" s="2">
        <f t="shared" si="210"/>
        <v>0</v>
      </c>
      <c r="AQ253" s="2">
        <f t="shared" si="210"/>
        <v>0</v>
      </c>
      <c r="AR253" s="2">
        <f t="shared" si="210"/>
        <v>2394479.9</v>
      </c>
      <c r="AS253" s="2">
        <f t="shared" si="210"/>
        <v>0</v>
      </c>
      <c r="AT253" s="2">
        <f t="shared" si="210"/>
        <v>0</v>
      </c>
      <c r="AU253" s="2">
        <f t="shared" ref="AU253:BZ253" si="211">AU260</f>
        <v>2394479.9</v>
      </c>
      <c r="AV253" s="2">
        <f t="shared" si="211"/>
        <v>2223907.81</v>
      </c>
      <c r="AW253" s="2">
        <f t="shared" si="211"/>
        <v>2223907.81</v>
      </c>
      <c r="AX253" s="2">
        <f t="shared" si="211"/>
        <v>0</v>
      </c>
      <c r="AY253" s="2">
        <f t="shared" si="211"/>
        <v>2223907.81</v>
      </c>
      <c r="AZ253" s="2">
        <f t="shared" si="211"/>
        <v>0</v>
      </c>
      <c r="BA253" s="2">
        <f t="shared" si="211"/>
        <v>0</v>
      </c>
      <c r="BB253" s="2">
        <f t="shared" si="211"/>
        <v>0</v>
      </c>
      <c r="BC253" s="2">
        <f t="shared" si="211"/>
        <v>0</v>
      </c>
      <c r="BD253" s="2">
        <f t="shared" si="211"/>
        <v>0</v>
      </c>
      <c r="BE253" s="2">
        <f t="shared" si="211"/>
        <v>0</v>
      </c>
      <c r="BF253" s="2">
        <f t="shared" si="211"/>
        <v>0</v>
      </c>
      <c r="BG253" s="2">
        <f t="shared" si="211"/>
        <v>0</v>
      </c>
      <c r="BH253" s="2">
        <f t="shared" si="211"/>
        <v>0</v>
      </c>
      <c r="BI253" s="2">
        <f t="shared" si="211"/>
        <v>0</v>
      </c>
      <c r="BJ253" s="2">
        <f t="shared" si="211"/>
        <v>0</v>
      </c>
      <c r="BK253" s="2">
        <f t="shared" si="211"/>
        <v>0</v>
      </c>
      <c r="BL253" s="2">
        <f t="shared" si="211"/>
        <v>0</v>
      </c>
      <c r="BM253" s="2">
        <f t="shared" si="211"/>
        <v>0</v>
      </c>
      <c r="BN253" s="2">
        <f t="shared" si="211"/>
        <v>0</v>
      </c>
      <c r="BO253" s="2">
        <f t="shared" si="211"/>
        <v>0</v>
      </c>
      <c r="BP253" s="2">
        <f t="shared" si="211"/>
        <v>0</v>
      </c>
      <c r="BQ253" s="2">
        <f t="shared" si="211"/>
        <v>0</v>
      </c>
      <c r="BR253" s="2">
        <f t="shared" si="211"/>
        <v>0</v>
      </c>
      <c r="BS253" s="2">
        <f t="shared" si="211"/>
        <v>0</v>
      </c>
      <c r="BT253" s="2">
        <f t="shared" si="211"/>
        <v>0</v>
      </c>
      <c r="BU253" s="2">
        <f t="shared" si="211"/>
        <v>0</v>
      </c>
      <c r="BV253" s="2">
        <f t="shared" si="211"/>
        <v>0</v>
      </c>
      <c r="BW253" s="2">
        <f t="shared" si="211"/>
        <v>0</v>
      </c>
      <c r="BX253" s="2">
        <f t="shared" si="211"/>
        <v>0</v>
      </c>
      <c r="BY253" s="2">
        <f t="shared" si="211"/>
        <v>0</v>
      </c>
      <c r="BZ253" s="2">
        <f t="shared" si="211"/>
        <v>0</v>
      </c>
      <c r="CA253" s="2">
        <f t="shared" ref="CA253:DF253" si="212">CA260</f>
        <v>2394479.9</v>
      </c>
      <c r="CB253" s="2">
        <f t="shared" si="212"/>
        <v>0</v>
      </c>
      <c r="CC253" s="2">
        <f t="shared" si="212"/>
        <v>0</v>
      </c>
      <c r="CD253" s="2">
        <f t="shared" si="212"/>
        <v>2394479.9</v>
      </c>
      <c r="CE253" s="2">
        <f t="shared" si="212"/>
        <v>2223907.81</v>
      </c>
      <c r="CF253" s="2">
        <f t="shared" si="212"/>
        <v>2223907.81</v>
      </c>
      <c r="CG253" s="2">
        <f t="shared" si="212"/>
        <v>0</v>
      </c>
      <c r="CH253" s="2">
        <f t="shared" si="212"/>
        <v>2223907.81</v>
      </c>
      <c r="CI253" s="2">
        <f t="shared" si="212"/>
        <v>0</v>
      </c>
      <c r="CJ253" s="2">
        <f t="shared" si="212"/>
        <v>0</v>
      </c>
      <c r="CK253" s="2">
        <f t="shared" si="212"/>
        <v>0</v>
      </c>
      <c r="CL253" s="2">
        <f t="shared" si="212"/>
        <v>0</v>
      </c>
      <c r="CM253" s="2">
        <f t="shared" si="212"/>
        <v>0</v>
      </c>
      <c r="CN253" s="2">
        <f t="shared" si="212"/>
        <v>0</v>
      </c>
      <c r="CO253" s="2">
        <f t="shared" si="212"/>
        <v>0</v>
      </c>
      <c r="CP253" s="2">
        <f t="shared" si="212"/>
        <v>0</v>
      </c>
      <c r="CQ253" s="2">
        <f t="shared" si="212"/>
        <v>0</v>
      </c>
      <c r="CR253" s="2">
        <f t="shared" si="212"/>
        <v>0</v>
      </c>
      <c r="CS253" s="2">
        <f t="shared" si="212"/>
        <v>0</v>
      </c>
      <c r="CT253" s="2">
        <f t="shared" si="212"/>
        <v>0</v>
      </c>
      <c r="CU253" s="2">
        <f t="shared" si="212"/>
        <v>0</v>
      </c>
      <c r="CV253" s="2">
        <f t="shared" si="212"/>
        <v>0</v>
      </c>
      <c r="CW253" s="2">
        <f t="shared" si="212"/>
        <v>0</v>
      </c>
      <c r="CX253" s="2">
        <f t="shared" si="212"/>
        <v>0</v>
      </c>
      <c r="CY253" s="2">
        <f t="shared" si="212"/>
        <v>0</v>
      </c>
      <c r="CZ253" s="2">
        <f t="shared" si="212"/>
        <v>0</v>
      </c>
      <c r="DA253" s="2">
        <f t="shared" si="212"/>
        <v>0</v>
      </c>
      <c r="DB253" s="2">
        <f t="shared" si="212"/>
        <v>0</v>
      </c>
      <c r="DC253" s="2">
        <f t="shared" si="212"/>
        <v>0</v>
      </c>
      <c r="DD253" s="2">
        <f t="shared" si="212"/>
        <v>0</v>
      </c>
      <c r="DE253" s="2">
        <f t="shared" si="212"/>
        <v>0</v>
      </c>
      <c r="DF253" s="2">
        <f t="shared" si="212"/>
        <v>0</v>
      </c>
      <c r="DG253" s="3">
        <f t="shared" ref="DG253:EL253" si="213">DG260</f>
        <v>0</v>
      </c>
      <c r="DH253" s="3">
        <f t="shared" si="213"/>
        <v>0</v>
      </c>
      <c r="DI253" s="3">
        <f t="shared" si="213"/>
        <v>0</v>
      </c>
      <c r="DJ253" s="3">
        <f t="shared" si="213"/>
        <v>0</v>
      </c>
      <c r="DK253" s="3">
        <f t="shared" si="213"/>
        <v>0</v>
      </c>
      <c r="DL253" s="3">
        <f t="shared" si="213"/>
        <v>0</v>
      </c>
      <c r="DM253" s="3">
        <f t="shared" si="213"/>
        <v>0</v>
      </c>
      <c r="DN253" s="3">
        <f t="shared" si="213"/>
        <v>0</v>
      </c>
      <c r="DO253" s="3">
        <f t="shared" si="213"/>
        <v>0</v>
      </c>
      <c r="DP253" s="3">
        <f t="shared" si="213"/>
        <v>0</v>
      </c>
      <c r="DQ253" s="3">
        <f t="shared" si="213"/>
        <v>0</v>
      </c>
      <c r="DR253" s="3">
        <f t="shared" si="213"/>
        <v>0</v>
      </c>
      <c r="DS253" s="3">
        <f t="shared" si="213"/>
        <v>0</v>
      </c>
      <c r="DT253" s="3">
        <f t="shared" si="213"/>
        <v>0</v>
      </c>
      <c r="DU253" s="3">
        <f t="shared" si="213"/>
        <v>0</v>
      </c>
      <c r="DV253" s="3">
        <f t="shared" si="213"/>
        <v>0</v>
      </c>
      <c r="DW253" s="3">
        <f t="shared" si="213"/>
        <v>0</v>
      </c>
      <c r="DX253" s="3">
        <f t="shared" si="213"/>
        <v>0</v>
      </c>
      <c r="DY253" s="3">
        <f t="shared" si="213"/>
        <v>0</v>
      </c>
      <c r="DZ253" s="3">
        <f t="shared" si="213"/>
        <v>0</v>
      </c>
      <c r="EA253" s="3">
        <f t="shared" si="213"/>
        <v>0</v>
      </c>
      <c r="EB253" s="3">
        <f t="shared" si="213"/>
        <v>0</v>
      </c>
      <c r="EC253" s="3">
        <f t="shared" si="213"/>
        <v>0</v>
      </c>
      <c r="ED253" s="3">
        <f t="shared" si="213"/>
        <v>0</v>
      </c>
      <c r="EE253" s="3">
        <f t="shared" si="213"/>
        <v>0</v>
      </c>
      <c r="EF253" s="3">
        <f t="shared" si="213"/>
        <v>0</v>
      </c>
      <c r="EG253" s="3">
        <f t="shared" si="213"/>
        <v>0</v>
      </c>
      <c r="EH253" s="3">
        <f t="shared" si="213"/>
        <v>0</v>
      </c>
      <c r="EI253" s="3">
        <f t="shared" si="213"/>
        <v>0</v>
      </c>
      <c r="EJ253" s="3">
        <f t="shared" si="213"/>
        <v>0</v>
      </c>
      <c r="EK253" s="3">
        <f t="shared" si="213"/>
        <v>0</v>
      </c>
      <c r="EL253" s="3">
        <f t="shared" si="213"/>
        <v>0</v>
      </c>
      <c r="EM253" s="3">
        <f t="shared" ref="EM253:FR253" si="214">EM260</f>
        <v>0</v>
      </c>
      <c r="EN253" s="3">
        <f t="shared" si="214"/>
        <v>0</v>
      </c>
      <c r="EO253" s="3">
        <f t="shared" si="214"/>
        <v>0</v>
      </c>
      <c r="EP253" s="3">
        <f t="shared" si="214"/>
        <v>0</v>
      </c>
      <c r="EQ253" s="3">
        <f t="shared" si="214"/>
        <v>0</v>
      </c>
      <c r="ER253" s="3">
        <f t="shared" si="214"/>
        <v>0</v>
      </c>
      <c r="ES253" s="3">
        <f t="shared" si="214"/>
        <v>0</v>
      </c>
      <c r="ET253" s="3">
        <f t="shared" si="214"/>
        <v>0</v>
      </c>
      <c r="EU253" s="3">
        <f t="shared" si="214"/>
        <v>0</v>
      </c>
      <c r="EV253" s="3">
        <f t="shared" si="214"/>
        <v>0</v>
      </c>
      <c r="EW253" s="3">
        <f t="shared" si="214"/>
        <v>0</v>
      </c>
      <c r="EX253" s="3">
        <f t="shared" si="214"/>
        <v>0</v>
      </c>
      <c r="EY253" s="3">
        <f t="shared" si="214"/>
        <v>0</v>
      </c>
      <c r="EZ253" s="3">
        <f t="shared" si="214"/>
        <v>0</v>
      </c>
      <c r="FA253" s="3">
        <f t="shared" si="214"/>
        <v>0</v>
      </c>
      <c r="FB253" s="3">
        <f t="shared" si="214"/>
        <v>0</v>
      </c>
      <c r="FC253" s="3">
        <f t="shared" si="214"/>
        <v>0</v>
      </c>
      <c r="FD253" s="3">
        <f t="shared" si="214"/>
        <v>0</v>
      </c>
      <c r="FE253" s="3">
        <f t="shared" si="214"/>
        <v>0</v>
      </c>
      <c r="FF253" s="3">
        <f t="shared" si="214"/>
        <v>0</v>
      </c>
      <c r="FG253" s="3">
        <f t="shared" si="214"/>
        <v>0</v>
      </c>
      <c r="FH253" s="3">
        <f t="shared" si="214"/>
        <v>0</v>
      </c>
      <c r="FI253" s="3">
        <f t="shared" si="214"/>
        <v>0</v>
      </c>
      <c r="FJ253" s="3">
        <f t="shared" si="214"/>
        <v>0</v>
      </c>
      <c r="FK253" s="3">
        <f t="shared" si="214"/>
        <v>0</v>
      </c>
      <c r="FL253" s="3">
        <f t="shared" si="214"/>
        <v>0</v>
      </c>
      <c r="FM253" s="3">
        <f t="shared" si="214"/>
        <v>0</v>
      </c>
      <c r="FN253" s="3">
        <f t="shared" si="214"/>
        <v>0</v>
      </c>
      <c r="FO253" s="3">
        <f t="shared" si="214"/>
        <v>0</v>
      </c>
      <c r="FP253" s="3">
        <f t="shared" si="214"/>
        <v>0</v>
      </c>
      <c r="FQ253" s="3">
        <f t="shared" si="214"/>
        <v>0</v>
      </c>
      <c r="FR253" s="3">
        <f t="shared" si="214"/>
        <v>0</v>
      </c>
      <c r="FS253" s="3">
        <f t="shared" ref="FS253:GX253" si="215">FS260</f>
        <v>0</v>
      </c>
      <c r="FT253" s="3">
        <f t="shared" si="215"/>
        <v>0</v>
      </c>
      <c r="FU253" s="3">
        <f t="shared" si="215"/>
        <v>0</v>
      </c>
      <c r="FV253" s="3">
        <f t="shared" si="215"/>
        <v>0</v>
      </c>
      <c r="FW253" s="3">
        <f t="shared" si="215"/>
        <v>0</v>
      </c>
      <c r="FX253" s="3">
        <f t="shared" si="215"/>
        <v>0</v>
      </c>
      <c r="FY253" s="3">
        <f t="shared" si="215"/>
        <v>0</v>
      </c>
      <c r="FZ253" s="3">
        <f t="shared" si="215"/>
        <v>0</v>
      </c>
      <c r="GA253" s="3">
        <f t="shared" si="215"/>
        <v>0</v>
      </c>
      <c r="GB253" s="3">
        <f t="shared" si="215"/>
        <v>0</v>
      </c>
      <c r="GC253" s="3">
        <f t="shared" si="215"/>
        <v>0</v>
      </c>
      <c r="GD253" s="3">
        <f t="shared" si="215"/>
        <v>0</v>
      </c>
      <c r="GE253" s="3">
        <f t="shared" si="215"/>
        <v>0</v>
      </c>
      <c r="GF253" s="3">
        <f t="shared" si="215"/>
        <v>0</v>
      </c>
      <c r="GG253" s="3">
        <f t="shared" si="215"/>
        <v>0</v>
      </c>
      <c r="GH253" s="3">
        <f t="shared" si="215"/>
        <v>0</v>
      </c>
      <c r="GI253" s="3">
        <f t="shared" si="215"/>
        <v>0</v>
      </c>
      <c r="GJ253" s="3">
        <f t="shared" si="215"/>
        <v>0</v>
      </c>
      <c r="GK253" s="3">
        <f t="shared" si="215"/>
        <v>0</v>
      </c>
      <c r="GL253" s="3">
        <f t="shared" si="215"/>
        <v>0</v>
      </c>
      <c r="GM253" s="3">
        <f t="shared" si="215"/>
        <v>0</v>
      </c>
      <c r="GN253" s="3">
        <f t="shared" si="215"/>
        <v>0</v>
      </c>
      <c r="GO253" s="3">
        <f t="shared" si="215"/>
        <v>0</v>
      </c>
      <c r="GP253" s="3">
        <f t="shared" si="215"/>
        <v>0</v>
      </c>
      <c r="GQ253" s="3">
        <f t="shared" si="215"/>
        <v>0</v>
      </c>
      <c r="GR253" s="3">
        <f t="shared" si="215"/>
        <v>0</v>
      </c>
      <c r="GS253" s="3">
        <f t="shared" si="215"/>
        <v>0</v>
      </c>
      <c r="GT253" s="3">
        <f t="shared" si="215"/>
        <v>0</v>
      </c>
      <c r="GU253" s="3">
        <f t="shared" si="215"/>
        <v>0</v>
      </c>
      <c r="GV253" s="3">
        <f t="shared" si="215"/>
        <v>0</v>
      </c>
      <c r="GW253" s="3">
        <f t="shared" si="215"/>
        <v>0</v>
      </c>
      <c r="GX253" s="3">
        <f t="shared" si="215"/>
        <v>0</v>
      </c>
    </row>
    <row r="255" spans="1:245" x14ac:dyDescent="0.2">
      <c r="A255">
        <v>17</v>
      </c>
      <c r="B255">
        <v>1</v>
      </c>
      <c r="C255">
        <f>ROW(SmtRes!A125)</f>
        <v>125</v>
      </c>
      <c r="D255">
        <f>ROW(EtalonRes!A122)</f>
        <v>122</v>
      </c>
      <c r="E255" t="s">
        <v>216</v>
      </c>
      <c r="F255" t="s">
        <v>217</v>
      </c>
      <c r="G255" t="s">
        <v>218</v>
      </c>
      <c r="H255" t="s">
        <v>63</v>
      </c>
      <c r="I255">
        <v>14</v>
      </c>
      <c r="J255">
        <v>0</v>
      </c>
      <c r="O255">
        <f>ROUND(CP255,2)</f>
        <v>1526749</v>
      </c>
      <c r="P255">
        <f>ROUND(CQ255*I255,2)</f>
        <v>1433034.68</v>
      </c>
      <c r="Q255">
        <f>ROUND(CR255*I255,2)</f>
        <v>36641.5</v>
      </c>
      <c r="R255">
        <f>ROUND(CS255*I255,2)</f>
        <v>28888.44</v>
      </c>
      <c r="S255">
        <f>ROUND(CT255*I255,2)</f>
        <v>57072.82</v>
      </c>
      <c r="T255">
        <f>ROUND(CU255*I255,2)</f>
        <v>0</v>
      </c>
      <c r="U255">
        <f>CV255*I255</f>
        <v>258.16000000000003</v>
      </c>
      <c r="V255">
        <f>CW255*I255</f>
        <v>0</v>
      </c>
      <c r="W255">
        <f>ROUND(CX255*I255,2)</f>
        <v>0</v>
      </c>
      <c r="X255">
        <f t="shared" ref="X255:Y258" si="216">ROUND(CY255,2)</f>
        <v>39950.97</v>
      </c>
      <c r="Y255">
        <f t="shared" si="216"/>
        <v>5707.28</v>
      </c>
      <c r="AA255">
        <v>42184655</v>
      </c>
      <c r="AB255">
        <f>ROUND((AC255+AD255+AF255),6)</f>
        <v>109053.5</v>
      </c>
      <c r="AC255">
        <f>ROUND((ES255),6)</f>
        <v>102359.62</v>
      </c>
      <c r="AD255">
        <f>ROUND((((ET255)-(EU255))+AE255),6)</f>
        <v>2617.25</v>
      </c>
      <c r="AE255">
        <f t="shared" ref="AE255:AF258" si="217">ROUND((EU255),6)</f>
        <v>2063.46</v>
      </c>
      <c r="AF255">
        <f t="shared" si="217"/>
        <v>4076.63</v>
      </c>
      <c r="AG255">
        <f>ROUND((AP255),6)</f>
        <v>0</v>
      </c>
      <c r="AH255">
        <f t="shared" ref="AH255:AI258" si="218">(EW255)</f>
        <v>18.440000000000001</v>
      </c>
      <c r="AI255">
        <f t="shared" si="218"/>
        <v>0</v>
      </c>
      <c r="AJ255">
        <f>(AS255)</f>
        <v>0</v>
      </c>
      <c r="AK255">
        <v>109053.5</v>
      </c>
      <c r="AL255">
        <v>102359.62</v>
      </c>
      <c r="AM255">
        <v>2617.25</v>
      </c>
      <c r="AN255">
        <v>2063.46</v>
      </c>
      <c r="AO255">
        <v>4076.63</v>
      </c>
      <c r="AP255">
        <v>0</v>
      </c>
      <c r="AQ255">
        <v>18.440000000000001</v>
      </c>
      <c r="AR255">
        <v>0</v>
      </c>
      <c r="AS255">
        <v>0</v>
      </c>
      <c r="AT255">
        <v>70</v>
      </c>
      <c r="AU255">
        <v>10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1</v>
      </c>
      <c r="BD255" t="s">
        <v>3</v>
      </c>
      <c r="BE255" t="s">
        <v>3</v>
      </c>
      <c r="BF255" t="s">
        <v>3</v>
      </c>
      <c r="BG255" t="s">
        <v>3</v>
      </c>
      <c r="BH255">
        <v>0</v>
      </c>
      <c r="BI255">
        <v>4</v>
      </c>
      <c r="BJ255" t="s">
        <v>219</v>
      </c>
      <c r="BM255">
        <v>0</v>
      </c>
      <c r="BN255">
        <v>0</v>
      </c>
      <c r="BO255" t="s">
        <v>3</v>
      </c>
      <c r="BP255">
        <v>0</v>
      </c>
      <c r="BQ255">
        <v>1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 t="s">
        <v>3</v>
      </c>
      <c r="BZ255">
        <v>70</v>
      </c>
      <c r="CA255">
        <v>10</v>
      </c>
      <c r="CE255">
        <v>0</v>
      </c>
      <c r="CF255">
        <v>0</v>
      </c>
      <c r="CG255">
        <v>0</v>
      </c>
      <c r="CM255">
        <v>0</v>
      </c>
      <c r="CN255" t="s">
        <v>3</v>
      </c>
      <c r="CO255">
        <v>0</v>
      </c>
      <c r="CP255">
        <f>(P255+Q255+S255)</f>
        <v>1526749</v>
      </c>
      <c r="CQ255">
        <f>(AC255*BC255*AW255)</f>
        <v>102359.62</v>
      </c>
      <c r="CR255">
        <f>((((ET255)*BB255-(EU255)*BS255)+AE255*BS255)*AV255)</f>
        <v>2617.25</v>
      </c>
      <c r="CS255">
        <f>(AE255*BS255*AV255)</f>
        <v>2063.46</v>
      </c>
      <c r="CT255">
        <f>(AF255*BA255*AV255)</f>
        <v>4076.63</v>
      </c>
      <c r="CU255">
        <f>AG255</f>
        <v>0</v>
      </c>
      <c r="CV255">
        <f>(AH255*AV255)</f>
        <v>18.440000000000001</v>
      </c>
      <c r="CW255">
        <f t="shared" ref="CW255:CX258" si="219">AI255</f>
        <v>0</v>
      </c>
      <c r="CX255">
        <f t="shared" si="219"/>
        <v>0</v>
      </c>
      <c r="CY255">
        <f>((S255*BZ255)/100)</f>
        <v>39950.974000000002</v>
      </c>
      <c r="CZ255">
        <f>((S255*CA255)/100)</f>
        <v>5707.2819999999992</v>
      </c>
      <c r="DC255" t="s">
        <v>3</v>
      </c>
      <c r="DD255" t="s">
        <v>3</v>
      </c>
      <c r="DE255" t="s">
        <v>3</v>
      </c>
      <c r="DF255" t="s">
        <v>3</v>
      </c>
      <c r="DG255" t="s">
        <v>3</v>
      </c>
      <c r="DH255" t="s">
        <v>3</v>
      </c>
      <c r="DI255" t="s">
        <v>3</v>
      </c>
      <c r="DJ255" t="s">
        <v>3</v>
      </c>
      <c r="DK255" t="s">
        <v>3</v>
      </c>
      <c r="DL255" t="s">
        <v>3</v>
      </c>
      <c r="DM255" t="s">
        <v>3</v>
      </c>
      <c r="DN255">
        <v>0</v>
      </c>
      <c r="DO255">
        <v>0</v>
      </c>
      <c r="DP255">
        <v>1</v>
      </c>
      <c r="DQ255">
        <v>1</v>
      </c>
      <c r="DU255">
        <v>1005</v>
      </c>
      <c r="DV255" t="s">
        <v>63</v>
      </c>
      <c r="DW255" t="s">
        <v>63</v>
      </c>
      <c r="DX255">
        <v>100</v>
      </c>
      <c r="EE255">
        <v>40658659</v>
      </c>
      <c r="EF255">
        <v>1</v>
      </c>
      <c r="EG255" t="s">
        <v>24</v>
      </c>
      <c r="EH255">
        <v>0</v>
      </c>
      <c r="EI255" t="s">
        <v>3</v>
      </c>
      <c r="EJ255">
        <v>4</v>
      </c>
      <c r="EK255">
        <v>0</v>
      </c>
      <c r="EL255" t="s">
        <v>25</v>
      </c>
      <c r="EM255" t="s">
        <v>26</v>
      </c>
      <c r="EO255" t="s">
        <v>3</v>
      </c>
      <c r="EQ255">
        <v>0</v>
      </c>
      <c r="ER255">
        <v>109053.5</v>
      </c>
      <c r="ES255">
        <v>102359.62</v>
      </c>
      <c r="ET255">
        <v>2617.25</v>
      </c>
      <c r="EU255">
        <v>2063.46</v>
      </c>
      <c r="EV255">
        <v>4076.63</v>
      </c>
      <c r="EW255">
        <v>18.440000000000001</v>
      </c>
      <c r="EX255">
        <v>0</v>
      </c>
      <c r="EY255">
        <v>0</v>
      </c>
      <c r="FQ255">
        <v>0</v>
      </c>
      <c r="FR255">
        <f>ROUND(IF(AND(BH255=3,BI255=3),P255,0),2)</f>
        <v>0</v>
      </c>
      <c r="FS255">
        <v>0</v>
      </c>
      <c r="FX255">
        <v>70</v>
      </c>
      <c r="FY255">
        <v>10</v>
      </c>
      <c r="GA255" t="s">
        <v>3</v>
      </c>
      <c r="GD255">
        <v>0</v>
      </c>
      <c r="GF255">
        <v>1018568157</v>
      </c>
      <c r="GG255">
        <v>2</v>
      </c>
      <c r="GH255">
        <v>1</v>
      </c>
      <c r="GI255">
        <v>-2</v>
      </c>
      <c r="GJ255">
        <v>0</v>
      </c>
      <c r="GK255">
        <f>ROUND(R255*(R12)/100,2)</f>
        <v>31199.52</v>
      </c>
      <c r="GL255">
        <f>ROUND(IF(AND(BH255=3,BI255=3,FS255&lt;&gt;0),P255,0),2)</f>
        <v>0</v>
      </c>
      <c r="GM255">
        <f>ROUND(O255+X255+Y255+GK255,2)+GX255</f>
        <v>1603606.77</v>
      </c>
      <c r="GN255">
        <f>IF(OR(BI255=0,BI255=1),ROUND(O255+X255+Y255+GK255,2),0)</f>
        <v>0</v>
      </c>
      <c r="GO255">
        <f>IF(BI255=2,ROUND(O255+X255+Y255+GK255,2),0)</f>
        <v>0</v>
      </c>
      <c r="GP255">
        <f>IF(BI255=4,ROUND(O255+X255+Y255+GK255,2)+GX255,0)</f>
        <v>1603606.77</v>
      </c>
      <c r="GR255">
        <v>0</v>
      </c>
      <c r="GS255">
        <v>3</v>
      </c>
      <c r="GT255">
        <v>0</v>
      </c>
      <c r="GU255" t="s">
        <v>3</v>
      </c>
      <c r="GV255">
        <f>ROUND((GT255),6)</f>
        <v>0</v>
      </c>
      <c r="GW255">
        <v>1</v>
      </c>
      <c r="GX255">
        <f>ROUND(HC255*I255,2)</f>
        <v>0</v>
      </c>
      <c r="HA255">
        <v>0</v>
      </c>
      <c r="HB255">
        <v>0</v>
      </c>
      <c r="HC255">
        <f>GV255*GW255</f>
        <v>0</v>
      </c>
      <c r="IK255">
        <v>0</v>
      </c>
    </row>
    <row r="256" spans="1:245" x14ac:dyDescent="0.2">
      <c r="A256">
        <v>18</v>
      </c>
      <c r="B256">
        <v>1</v>
      </c>
      <c r="C256">
        <v>120</v>
      </c>
      <c r="E256" t="s">
        <v>220</v>
      </c>
      <c r="F256" t="s">
        <v>221</v>
      </c>
      <c r="G256" t="s">
        <v>222</v>
      </c>
      <c r="H256" t="s">
        <v>223</v>
      </c>
      <c r="I256">
        <f>I255*J256</f>
        <v>-78.400000000000006</v>
      </c>
      <c r="J256">
        <v>-5.6000000000000005</v>
      </c>
      <c r="O256">
        <f>ROUND(CP256,2)</f>
        <v>-942.37</v>
      </c>
      <c r="P256">
        <f>ROUND(CQ256*I256,2)</f>
        <v>-942.37</v>
      </c>
      <c r="Q256">
        <f>ROUND(CR256*I256,2)</f>
        <v>0</v>
      </c>
      <c r="R256">
        <f>ROUND(CS256*I256,2)</f>
        <v>0</v>
      </c>
      <c r="S256">
        <f>ROUND(CT256*I256,2)</f>
        <v>0</v>
      </c>
      <c r="T256">
        <f>ROUND(CU256*I256,2)</f>
        <v>0</v>
      </c>
      <c r="U256">
        <f>CV256*I256</f>
        <v>0</v>
      </c>
      <c r="V256">
        <f>CW256*I256</f>
        <v>0</v>
      </c>
      <c r="W256">
        <f>ROUND(CX256*I256,2)</f>
        <v>0</v>
      </c>
      <c r="X256">
        <f t="shared" si="216"/>
        <v>0</v>
      </c>
      <c r="Y256">
        <f t="shared" si="216"/>
        <v>0</v>
      </c>
      <c r="AA256">
        <v>42184655</v>
      </c>
      <c r="AB256">
        <f>ROUND((AC256+AD256+AF256),6)</f>
        <v>12.02</v>
      </c>
      <c r="AC256">
        <f>ROUND((ES256),6)</f>
        <v>12.02</v>
      </c>
      <c r="AD256">
        <f>ROUND((((ET256)-(EU256))+AE256),6)</f>
        <v>0</v>
      </c>
      <c r="AE256">
        <f t="shared" si="217"/>
        <v>0</v>
      </c>
      <c r="AF256">
        <f t="shared" si="217"/>
        <v>0</v>
      </c>
      <c r="AG256">
        <f>ROUND((AP256),6)</f>
        <v>0</v>
      </c>
      <c r="AH256">
        <f t="shared" si="218"/>
        <v>0</v>
      </c>
      <c r="AI256">
        <f t="shared" si="218"/>
        <v>0</v>
      </c>
      <c r="AJ256">
        <f>(AS256)</f>
        <v>0</v>
      </c>
      <c r="AK256">
        <v>12.02</v>
      </c>
      <c r="AL256">
        <v>12.02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70</v>
      </c>
      <c r="AU256">
        <v>10</v>
      </c>
      <c r="AV256">
        <v>1</v>
      </c>
      <c r="AW256">
        <v>1</v>
      </c>
      <c r="AZ256">
        <v>1</v>
      </c>
      <c r="BA256">
        <v>1</v>
      </c>
      <c r="BB256">
        <v>1</v>
      </c>
      <c r="BC256">
        <v>1</v>
      </c>
      <c r="BD256" t="s">
        <v>3</v>
      </c>
      <c r="BE256" t="s">
        <v>3</v>
      </c>
      <c r="BF256" t="s">
        <v>3</v>
      </c>
      <c r="BG256" t="s">
        <v>3</v>
      </c>
      <c r="BH256">
        <v>3</v>
      </c>
      <c r="BI256">
        <v>4</v>
      </c>
      <c r="BJ256" t="s">
        <v>224</v>
      </c>
      <c r="BM256">
        <v>0</v>
      </c>
      <c r="BN256">
        <v>0</v>
      </c>
      <c r="BO256" t="s">
        <v>3</v>
      </c>
      <c r="BP256">
        <v>0</v>
      </c>
      <c r="BQ256">
        <v>1</v>
      </c>
      <c r="BR256">
        <v>1</v>
      </c>
      <c r="BS256">
        <v>1</v>
      </c>
      <c r="BT256">
        <v>1</v>
      </c>
      <c r="BU256">
        <v>1</v>
      </c>
      <c r="BV256">
        <v>1</v>
      </c>
      <c r="BW256">
        <v>1</v>
      </c>
      <c r="BX256">
        <v>1</v>
      </c>
      <c r="BY256" t="s">
        <v>3</v>
      </c>
      <c r="BZ256">
        <v>70</v>
      </c>
      <c r="CA256">
        <v>10</v>
      </c>
      <c r="CE256">
        <v>0</v>
      </c>
      <c r="CF256">
        <v>0</v>
      </c>
      <c r="CG256">
        <v>0</v>
      </c>
      <c r="CM256">
        <v>0</v>
      </c>
      <c r="CN256" t="s">
        <v>3</v>
      </c>
      <c r="CO256">
        <v>0</v>
      </c>
      <c r="CP256">
        <f>(P256+Q256+S256)</f>
        <v>-942.37</v>
      </c>
      <c r="CQ256">
        <f>(AC256*BC256*AW256)</f>
        <v>12.02</v>
      </c>
      <c r="CR256">
        <f>((((ET256)*BB256-(EU256)*BS256)+AE256*BS256)*AV256)</f>
        <v>0</v>
      </c>
      <c r="CS256">
        <f>(AE256*BS256*AV256)</f>
        <v>0</v>
      </c>
      <c r="CT256">
        <f>(AF256*BA256*AV256)</f>
        <v>0</v>
      </c>
      <c r="CU256">
        <f>AG256</f>
        <v>0</v>
      </c>
      <c r="CV256">
        <f>(AH256*AV256)</f>
        <v>0</v>
      </c>
      <c r="CW256">
        <f t="shared" si="219"/>
        <v>0</v>
      </c>
      <c r="CX256">
        <f t="shared" si="219"/>
        <v>0</v>
      </c>
      <c r="CY256">
        <f>((S256*BZ256)/100)</f>
        <v>0</v>
      </c>
      <c r="CZ256">
        <f>((S256*CA256)/100)</f>
        <v>0</v>
      </c>
      <c r="DC256" t="s">
        <v>3</v>
      </c>
      <c r="DD256" t="s">
        <v>3</v>
      </c>
      <c r="DE256" t="s">
        <v>3</v>
      </c>
      <c r="DF256" t="s">
        <v>3</v>
      </c>
      <c r="DG256" t="s">
        <v>3</v>
      </c>
      <c r="DH256" t="s">
        <v>3</v>
      </c>
      <c r="DI256" t="s">
        <v>3</v>
      </c>
      <c r="DJ256" t="s">
        <v>3</v>
      </c>
      <c r="DK256" t="s">
        <v>3</v>
      </c>
      <c r="DL256" t="s">
        <v>3</v>
      </c>
      <c r="DM256" t="s">
        <v>3</v>
      </c>
      <c r="DN256">
        <v>0</v>
      </c>
      <c r="DO256">
        <v>0</v>
      </c>
      <c r="DP256">
        <v>1</v>
      </c>
      <c r="DQ256">
        <v>1</v>
      </c>
      <c r="DU256">
        <v>1005</v>
      </c>
      <c r="DV256" t="s">
        <v>223</v>
      </c>
      <c r="DW256" t="s">
        <v>223</v>
      </c>
      <c r="DX256">
        <v>1</v>
      </c>
      <c r="EE256">
        <v>40658659</v>
      </c>
      <c r="EF256">
        <v>1</v>
      </c>
      <c r="EG256" t="s">
        <v>24</v>
      </c>
      <c r="EH256">
        <v>0</v>
      </c>
      <c r="EI256" t="s">
        <v>3</v>
      </c>
      <c r="EJ256">
        <v>4</v>
      </c>
      <c r="EK256">
        <v>0</v>
      </c>
      <c r="EL256" t="s">
        <v>25</v>
      </c>
      <c r="EM256" t="s">
        <v>26</v>
      </c>
      <c r="EO256" t="s">
        <v>3</v>
      </c>
      <c r="EQ256">
        <v>0</v>
      </c>
      <c r="ER256">
        <v>12.02</v>
      </c>
      <c r="ES256">
        <v>12.02</v>
      </c>
      <c r="ET256">
        <v>0</v>
      </c>
      <c r="EU256">
        <v>0</v>
      </c>
      <c r="EV256">
        <v>0</v>
      </c>
      <c r="EW256">
        <v>0</v>
      </c>
      <c r="EX256">
        <v>0</v>
      </c>
      <c r="FQ256">
        <v>0</v>
      </c>
      <c r="FR256">
        <f>ROUND(IF(AND(BH256=3,BI256=3),P256,0),2)</f>
        <v>0</v>
      </c>
      <c r="FS256">
        <v>0</v>
      </c>
      <c r="FX256">
        <v>70</v>
      </c>
      <c r="FY256">
        <v>10</v>
      </c>
      <c r="GA256" t="s">
        <v>3</v>
      </c>
      <c r="GD256">
        <v>0</v>
      </c>
      <c r="GF256">
        <v>-656702110</v>
      </c>
      <c r="GG256">
        <v>2</v>
      </c>
      <c r="GH256">
        <v>1</v>
      </c>
      <c r="GI256">
        <v>-2</v>
      </c>
      <c r="GJ256">
        <v>0</v>
      </c>
      <c r="GK256">
        <f>ROUND(R256*(R12)/100,2)</f>
        <v>0</v>
      </c>
      <c r="GL256">
        <f>ROUND(IF(AND(BH256=3,BI256=3,FS256&lt;&gt;0),P256,0),2)</f>
        <v>0</v>
      </c>
      <c r="GM256">
        <f>ROUND(O256+X256+Y256+GK256,2)+GX256</f>
        <v>-942.37</v>
      </c>
      <c r="GN256">
        <f>IF(OR(BI256=0,BI256=1),ROUND(O256+X256+Y256+GK256,2),0)</f>
        <v>0</v>
      </c>
      <c r="GO256">
        <f>IF(BI256=2,ROUND(O256+X256+Y256+GK256,2),0)</f>
        <v>0</v>
      </c>
      <c r="GP256">
        <f>IF(BI256=4,ROUND(O256+X256+Y256+GK256,2)+GX256,0)</f>
        <v>-942.37</v>
      </c>
      <c r="GR256">
        <v>0</v>
      </c>
      <c r="GS256">
        <v>3</v>
      </c>
      <c r="GT256">
        <v>0</v>
      </c>
      <c r="GU256" t="s">
        <v>3</v>
      </c>
      <c r="GV256">
        <f>ROUND((GT256),6)</f>
        <v>0</v>
      </c>
      <c r="GW256">
        <v>1</v>
      </c>
      <c r="GX256">
        <f>ROUND(HC256*I256,2)</f>
        <v>0</v>
      </c>
      <c r="HA256">
        <v>0</v>
      </c>
      <c r="HB256">
        <v>0</v>
      </c>
      <c r="HC256">
        <f>GV256*GW256</f>
        <v>0</v>
      </c>
      <c r="IK256">
        <v>0</v>
      </c>
    </row>
    <row r="257" spans="1:245" x14ac:dyDescent="0.2">
      <c r="A257">
        <v>18</v>
      </c>
      <c r="B257">
        <v>1</v>
      </c>
      <c r="C257">
        <v>122</v>
      </c>
      <c r="E257" t="s">
        <v>225</v>
      </c>
      <c r="F257" t="s">
        <v>226</v>
      </c>
      <c r="G257" t="s">
        <v>227</v>
      </c>
      <c r="H257" t="s">
        <v>228</v>
      </c>
      <c r="I257">
        <f>I255*J257</f>
        <v>-10290</v>
      </c>
      <c r="J257">
        <v>-735</v>
      </c>
      <c r="O257">
        <f>ROUND(CP257,2)</f>
        <v>-182853.3</v>
      </c>
      <c r="P257">
        <f>ROUND(CQ257*I257,2)</f>
        <v>-182853.3</v>
      </c>
      <c r="Q257">
        <f>ROUND(CR257*I257,2)</f>
        <v>0</v>
      </c>
      <c r="R257">
        <f>ROUND(CS257*I257,2)</f>
        <v>0</v>
      </c>
      <c r="S257">
        <f>ROUND(CT257*I257,2)</f>
        <v>0</v>
      </c>
      <c r="T257">
        <f>ROUND(CU257*I257,2)</f>
        <v>0</v>
      </c>
      <c r="U257">
        <f>CV257*I257</f>
        <v>0</v>
      </c>
      <c r="V257">
        <f>CW257*I257</f>
        <v>0</v>
      </c>
      <c r="W257">
        <f>ROUND(CX257*I257,2)</f>
        <v>0</v>
      </c>
      <c r="X257">
        <f t="shared" si="216"/>
        <v>0</v>
      </c>
      <c r="Y257">
        <f t="shared" si="216"/>
        <v>0</v>
      </c>
      <c r="AA257">
        <v>42184655</v>
      </c>
      <c r="AB257">
        <f>ROUND((AC257+AD257+AF257),6)</f>
        <v>17.77</v>
      </c>
      <c r="AC257">
        <f>ROUND((ES257),6)</f>
        <v>17.77</v>
      </c>
      <c r="AD257">
        <f>ROUND((((ET257)-(EU257))+AE257),6)</f>
        <v>0</v>
      </c>
      <c r="AE257">
        <f t="shared" si="217"/>
        <v>0</v>
      </c>
      <c r="AF257">
        <f t="shared" si="217"/>
        <v>0</v>
      </c>
      <c r="AG257">
        <f>ROUND((AP257),6)</f>
        <v>0</v>
      </c>
      <c r="AH257">
        <f t="shared" si="218"/>
        <v>0</v>
      </c>
      <c r="AI257">
        <f t="shared" si="218"/>
        <v>0</v>
      </c>
      <c r="AJ257">
        <f>(AS257)</f>
        <v>0</v>
      </c>
      <c r="AK257">
        <v>17.77</v>
      </c>
      <c r="AL257">
        <v>17.77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70</v>
      </c>
      <c r="AU257">
        <v>10</v>
      </c>
      <c r="AV257">
        <v>1</v>
      </c>
      <c r="AW257">
        <v>1</v>
      </c>
      <c r="AZ257">
        <v>1</v>
      </c>
      <c r="BA257">
        <v>1</v>
      </c>
      <c r="BB257">
        <v>1</v>
      </c>
      <c r="BC257">
        <v>1</v>
      </c>
      <c r="BD257" t="s">
        <v>3</v>
      </c>
      <c r="BE257" t="s">
        <v>3</v>
      </c>
      <c r="BF257" t="s">
        <v>3</v>
      </c>
      <c r="BG257" t="s">
        <v>3</v>
      </c>
      <c r="BH257">
        <v>3</v>
      </c>
      <c r="BI257">
        <v>4</v>
      </c>
      <c r="BJ257" t="s">
        <v>229</v>
      </c>
      <c r="BM257">
        <v>0</v>
      </c>
      <c r="BN257">
        <v>0</v>
      </c>
      <c r="BO257" t="s">
        <v>3</v>
      </c>
      <c r="BP257">
        <v>0</v>
      </c>
      <c r="BQ257">
        <v>1</v>
      </c>
      <c r="BR257">
        <v>1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 t="s">
        <v>3</v>
      </c>
      <c r="BZ257">
        <v>70</v>
      </c>
      <c r="CA257">
        <v>10</v>
      </c>
      <c r="CE257">
        <v>0</v>
      </c>
      <c r="CF257">
        <v>0</v>
      </c>
      <c r="CG257">
        <v>0</v>
      </c>
      <c r="CM257">
        <v>0</v>
      </c>
      <c r="CN257" t="s">
        <v>3</v>
      </c>
      <c r="CO257">
        <v>0</v>
      </c>
      <c r="CP257">
        <f>(P257+Q257+S257)</f>
        <v>-182853.3</v>
      </c>
      <c r="CQ257">
        <f>(AC257*BC257*AW257)</f>
        <v>17.77</v>
      </c>
      <c r="CR257">
        <f>((((ET257)*BB257-(EU257)*BS257)+AE257*BS257)*AV257)</f>
        <v>0</v>
      </c>
      <c r="CS257">
        <f>(AE257*BS257*AV257)</f>
        <v>0</v>
      </c>
      <c r="CT257">
        <f>(AF257*BA257*AV257)</f>
        <v>0</v>
      </c>
      <c r="CU257">
        <f>AG257</f>
        <v>0</v>
      </c>
      <c r="CV257">
        <f>(AH257*AV257)</f>
        <v>0</v>
      </c>
      <c r="CW257">
        <f t="shared" si="219"/>
        <v>0</v>
      </c>
      <c r="CX257">
        <f t="shared" si="219"/>
        <v>0</v>
      </c>
      <c r="CY257">
        <f>((S257*BZ257)/100)</f>
        <v>0</v>
      </c>
      <c r="CZ257">
        <f>((S257*CA257)/100)</f>
        <v>0</v>
      </c>
      <c r="DC257" t="s">
        <v>3</v>
      </c>
      <c r="DD257" t="s">
        <v>3</v>
      </c>
      <c r="DE257" t="s">
        <v>3</v>
      </c>
      <c r="DF257" t="s">
        <v>3</v>
      </c>
      <c r="DG257" t="s">
        <v>3</v>
      </c>
      <c r="DH257" t="s">
        <v>3</v>
      </c>
      <c r="DI257" t="s">
        <v>3</v>
      </c>
      <c r="DJ257" t="s">
        <v>3</v>
      </c>
      <c r="DK257" t="s">
        <v>3</v>
      </c>
      <c r="DL257" t="s">
        <v>3</v>
      </c>
      <c r="DM257" t="s">
        <v>3</v>
      </c>
      <c r="DN257">
        <v>0</v>
      </c>
      <c r="DO257">
        <v>0</v>
      </c>
      <c r="DP257">
        <v>1</v>
      </c>
      <c r="DQ257">
        <v>1</v>
      </c>
      <c r="DU257">
        <v>1009</v>
      </c>
      <c r="DV257" t="s">
        <v>228</v>
      </c>
      <c r="DW257" t="s">
        <v>228</v>
      </c>
      <c r="DX257">
        <v>1</v>
      </c>
      <c r="EE257">
        <v>40658659</v>
      </c>
      <c r="EF257">
        <v>1</v>
      </c>
      <c r="EG257" t="s">
        <v>24</v>
      </c>
      <c r="EH257">
        <v>0</v>
      </c>
      <c r="EI257" t="s">
        <v>3</v>
      </c>
      <c r="EJ257">
        <v>4</v>
      </c>
      <c r="EK257">
        <v>0</v>
      </c>
      <c r="EL257" t="s">
        <v>25</v>
      </c>
      <c r="EM257" t="s">
        <v>26</v>
      </c>
      <c r="EO257" t="s">
        <v>3</v>
      </c>
      <c r="EQ257">
        <v>0</v>
      </c>
      <c r="ER257">
        <v>17.77</v>
      </c>
      <c r="ES257">
        <v>17.77</v>
      </c>
      <c r="ET257">
        <v>0</v>
      </c>
      <c r="EU257">
        <v>0</v>
      </c>
      <c r="EV257">
        <v>0</v>
      </c>
      <c r="EW257">
        <v>0</v>
      </c>
      <c r="EX257">
        <v>0</v>
      </c>
      <c r="FQ257">
        <v>0</v>
      </c>
      <c r="FR257">
        <f>ROUND(IF(AND(BH257=3,BI257=3),P257,0),2)</f>
        <v>0</v>
      </c>
      <c r="FS257">
        <v>0</v>
      </c>
      <c r="FX257">
        <v>70</v>
      </c>
      <c r="FY257">
        <v>10</v>
      </c>
      <c r="GA257" t="s">
        <v>3</v>
      </c>
      <c r="GD257">
        <v>0</v>
      </c>
      <c r="GF257">
        <v>-78256104</v>
      </c>
      <c r="GG257">
        <v>2</v>
      </c>
      <c r="GH257">
        <v>1</v>
      </c>
      <c r="GI257">
        <v>-2</v>
      </c>
      <c r="GJ257">
        <v>0</v>
      </c>
      <c r="GK257">
        <f>ROUND(R257*(R12)/100,2)</f>
        <v>0</v>
      </c>
      <c r="GL257">
        <f>ROUND(IF(AND(BH257=3,BI257=3,FS257&lt;&gt;0),P257,0),2)</f>
        <v>0</v>
      </c>
      <c r="GM257">
        <f>ROUND(O257+X257+Y257+GK257,2)+GX257</f>
        <v>-182853.3</v>
      </c>
      <c r="GN257">
        <f>IF(OR(BI257=0,BI257=1),ROUND(O257+X257+Y257+GK257,2),0)</f>
        <v>0</v>
      </c>
      <c r="GO257">
        <f>IF(BI257=2,ROUND(O257+X257+Y257+GK257,2),0)</f>
        <v>0</v>
      </c>
      <c r="GP257">
        <f>IF(BI257=4,ROUND(O257+X257+Y257+GK257,2)+GX257,0)</f>
        <v>-182853.3</v>
      </c>
      <c r="GR257">
        <v>0</v>
      </c>
      <c r="GS257">
        <v>3</v>
      </c>
      <c r="GT257">
        <v>0</v>
      </c>
      <c r="GU257" t="s">
        <v>3</v>
      </c>
      <c r="GV257">
        <f>ROUND((GT257),6)</f>
        <v>0</v>
      </c>
      <c r="GW257">
        <v>1</v>
      </c>
      <c r="GX257">
        <f>ROUND(HC257*I257,2)</f>
        <v>0</v>
      </c>
      <c r="HA257">
        <v>0</v>
      </c>
      <c r="HB257">
        <v>0</v>
      </c>
      <c r="HC257">
        <f>GV257*GW257</f>
        <v>0</v>
      </c>
      <c r="IK257">
        <v>0</v>
      </c>
    </row>
    <row r="258" spans="1:245" x14ac:dyDescent="0.2">
      <c r="A258">
        <v>18</v>
      </c>
      <c r="B258">
        <v>1</v>
      </c>
      <c r="C258">
        <v>123</v>
      </c>
      <c r="E258" t="s">
        <v>230</v>
      </c>
      <c r="F258" t="s">
        <v>231</v>
      </c>
      <c r="G258" t="s">
        <v>232</v>
      </c>
      <c r="H258" t="s">
        <v>228</v>
      </c>
      <c r="I258">
        <f>I255*J258</f>
        <v>10290</v>
      </c>
      <c r="J258">
        <v>735</v>
      </c>
      <c r="O258">
        <f>ROUND(CP258,2)</f>
        <v>974668.80000000005</v>
      </c>
      <c r="P258">
        <f>ROUND(CQ258*I258,2)</f>
        <v>974668.80000000005</v>
      </c>
      <c r="Q258">
        <f>ROUND(CR258*I258,2)</f>
        <v>0</v>
      </c>
      <c r="R258">
        <f>ROUND(CS258*I258,2)</f>
        <v>0</v>
      </c>
      <c r="S258">
        <f>ROUND(CT258*I258,2)</f>
        <v>0</v>
      </c>
      <c r="T258">
        <f>ROUND(CU258*I258,2)</f>
        <v>0</v>
      </c>
      <c r="U258">
        <f>CV258*I258</f>
        <v>0</v>
      </c>
      <c r="V258">
        <f>CW258*I258</f>
        <v>0</v>
      </c>
      <c r="W258">
        <f>ROUND(CX258*I258,2)</f>
        <v>0</v>
      </c>
      <c r="X258">
        <f t="shared" si="216"/>
        <v>0</v>
      </c>
      <c r="Y258">
        <f t="shared" si="216"/>
        <v>0</v>
      </c>
      <c r="AA258">
        <v>42184655</v>
      </c>
      <c r="AB258">
        <f>ROUND((AC258+AD258+AF258),6)</f>
        <v>94.72</v>
      </c>
      <c r="AC258">
        <f>ROUND((ES258),6)</f>
        <v>94.72</v>
      </c>
      <c r="AD258">
        <f>ROUND((((ET258)-(EU258))+AE258),6)</f>
        <v>0</v>
      </c>
      <c r="AE258">
        <f t="shared" si="217"/>
        <v>0</v>
      </c>
      <c r="AF258">
        <f t="shared" si="217"/>
        <v>0</v>
      </c>
      <c r="AG258">
        <f>ROUND((AP258),6)</f>
        <v>0</v>
      </c>
      <c r="AH258">
        <f t="shared" si="218"/>
        <v>0</v>
      </c>
      <c r="AI258">
        <f t="shared" si="218"/>
        <v>0</v>
      </c>
      <c r="AJ258">
        <f>(AS258)</f>
        <v>0</v>
      </c>
      <c r="AK258">
        <v>94.72</v>
      </c>
      <c r="AL258">
        <v>94.72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70</v>
      </c>
      <c r="AU258">
        <v>10</v>
      </c>
      <c r="AV258">
        <v>1</v>
      </c>
      <c r="AW258">
        <v>1</v>
      </c>
      <c r="AZ258">
        <v>1</v>
      </c>
      <c r="BA258">
        <v>1</v>
      </c>
      <c r="BB258">
        <v>1</v>
      </c>
      <c r="BC258">
        <v>1</v>
      </c>
      <c r="BD258" t="s">
        <v>3</v>
      </c>
      <c r="BE258" t="s">
        <v>3</v>
      </c>
      <c r="BF258" t="s">
        <v>3</v>
      </c>
      <c r="BG258" t="s">
        <v>3</v>
      </c>
      <c r="BH258">
        <v>3</v>
      </c>
      <c r="BI258">
        <v>4</v>
      </c>
      <c r="BJ258" t="s">
        <v>233</v>
      </c>
      <c r="BM258">
        <v>0</v>
      </c>
      <c r="BN258">
        <v>0</v>
      </c>
      <c r="BO258" t="s">
        <v>3</v>
      </c>
      <c r="BP258">
        <v>0</v>
      </c>
      <c r="BQ258">
        <v>1</v>
      </c>
      <c r="BR258">
        <v>0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 t="s">
        <v>3</v>
      </c>
      <c r="BZ258">
        <v>70</v>
      </c>
      <c r="CA258">
        <v>10</v>
      </c>
      <c r="CE258">
        <v>0</v>
      </c>
      <c r="CF258">
        <v>0</v>
      </c>
      <c r="CG258">
        <v>0</v>
      </c>
      <c r="CM258">
        <v>0</v>
      </c>
      <c r="CN258" t="s">
        <v>3</v>
      </c>
      <c r="CO258">
        <v>0</v>
      </c>
      <c r="CP258">
        <f>(P258+Q258+S258)</f>
        <v>974668.80000000005</v>
      </c>
      <c r="CQ258">
        <f>(AC258*BC258*AW258)</f>
        <v>94.72</v>
      </c>
      <c r="CR258">
        <f>((((ET258)*BB258-(EU258)*BS258)+AE258*BS258)*AV258)</f>
        <v>0</v>
      </c>
      <c r="CS258">
        <f>(AE258*BS258*AV258)</f>
        <v>0</v>
      </c>
      <c r="CT258">
        <f>(AF258*BA258*AV258)</f>
        <v>0</v>
      </c>
      <c r="CU258">
        <f>AG258</f>
        <v>0</v>
      </c>
      <c r="CV258">
        <f>(AH258*AV258)</f>
        <v>0</v>
      </c>
      <c r="CW258">
        <f t="shared" si="219"/>
        <v>0</v>
      </c>
      <c r="CX258">
        <f t="shared" si="219"/>
        <v>0</v>
      </c>
      <c r="CY258">
        <f>((S258*BZ258)/100)</f>
        <v>0</v>
      </c>
      <c r="CZ258">
        <f>((S258*CA258)/100)</f>
        <v>0</v>
      </c>
      <c r="DC258" t="s">
        <v>3</v>
      </c>
      <c r="DD258" t="s">
        <v>3</v>
      </c>
      <c r="DE258" t="s">
        <v>3</v>
      </c>
      <c r="DF258" t="s">
        <v>3</v>
      </c>
      <c r="DG258" t="s">
        <v>3</v>
      </c>
      <c r="DH258" t="s">
        <v>3</v>
      </c>
      <c r="DI258" t="s">
        <v>3</v>
      </c>
      <c r="DJ258" t="s">
        <v>3</v>
      </c>
      <c r="DK258" t="s">
        <v>3</v>
      </c>
      <c r="DL258" t="s">
        <v>3</v>
      </c>
      <c r="DM258" t="s">
        <v>3</v>
      </c>
      <c r="DN258">
        <v>0</v>
      </c>
      <c r="DO258">
        <v>0</v>
      </c>
      <c r="DP258">
        <v>1</v>
      </c>
      <c r="DQ258">
        <v>1</v>
      </c>
      <c r="DU258">
        <v>1009</v>
      </c>
      <c r="DV258" t="s">
        <v>228</v>
      </c>
      <c r="DW258" t="s">
        <v>228</v>
      </c>
      <c r="DX258">
        <v>1</v>
      </c>
      <c r="EE258">
        <v>40658659</v>
      </c>
      <c r="EF258">
        <v>1</v>
      </c>
      <c r="EG258" t="s">
        <v>24</v>
      </c>
      <c r="EH258">
        <v>0</v>
      </c>
      <c r="EI258" t="s">
        <v>3</v>
      </c>
      <c r="EJ258">
        <v>4</v>
      </c>
      <c r="EK258">
        <v>0</v>
      </c>
      <c r="EL258" t="s">
        <v>25</v>
      </c>
      <c r="EM258" t="s">
        <v>26</v>
      </c>
      <c r="EO258" t="s">
        <v>3</v>
      </c>
      <c r="EQ258">
        <v>0</v>
      </c>
      <c r="ER258">
        <v>94.72</v>
      </c>
      <c r="ES258">
        <v>94.72</v>
      </c>
      <c r="ET258">
        <v>0</v>
      </c>
      <c r="EU258">
        <v>0</v>
      </c>
      <c r="EV258">
        <v>0</v>
      </c>
      <c r="EW258">
        <v>0</v>
      </c>
      <c r="EX258">
        <v>0</v>
      </c>
      <c r="FQ258">
        <v>0</v>
      </c>
      <c r="FR258">
        <f>ROUND(IF(AND(BH258=3,BI258=3),P258,0),2)</f>
        <v>0</v>
      </c>
      <c r="FS258">
        <v>0</v>
      </c>
      <c r="FX258">
        <v>70</v>
      </c>
      <c r="FY258">
        <v>10</v>
      </c>
      <c r="GA258" t="s">
        <v>3</v>
      </c>
      <c r="GD258">
        <v>0</v>
      </c>
      <c r="GF258">
        <v>1723842548</v>
      </c>
      <c r="GG258">
        <v>2</v>
      </c>
      <c r="GH258">
        <v>1</v>
      </c>
      <c r="GI258">
        <v>-2</v>
      </c>
      <c r="GJ258">
        <v>0</v>
      </c>
      <c r="GK258">
        <f>ROUND(R258*(R12)/100,2)</f>
        <v>0</v>
      </c>
      <c r="GL258">
        <f>ROUND(IF(AND(BH258=3,BI258=3,FS258&lt;&gt;0),P258,0),2)</f>
        <v>0</v>
      </c>
      <c r="GM258">
        <f>ROUND(O258+X258+Y258+GK258,2)+GX258</f>
        <v>974668.80000000005</v>
      </c>
      <c r="GN258">
        <f>IF(OR(BI258=0,BI258=1),ROUND(O258+X258+Y258+GK258,2),0)</f>
        <v>0</v>
      </c>
      <c r="GO258">
        <f>IF(BI258=2,ROUND(O258+X258+Y258+GK258,2),0)</f>
        <v>0</v>
      </c>
      <c r="GP258">
        <f>IF(BI258=4,ROUND(O258+X258+Y258+GK258,2)+GX258,0)</f>
        <v>974668.80000000005</v>
      </c>
      <c r="GR258">
        <v>0</v>
      </c>
      <c r="GS258">
        <v>3</v>
      </c>
      <c r="GT258">
        <v>0</v>
      </c>
      <c r="GU258" t="s">
        <v>3</v>
      </c>
      <c r="GV258">
        <f>ROUND((GT258),6)</f>
        <v>0</v>
      </c>
      <c r="GW258">
        <v>1</v>
      </c>
      <c r="GX258">
        <f>ROUND(HC258*I258,2)</f>
        <v>0</v>
      </c>
      <c r="HA258">
        <v>0</v>
      </c>
      <c r="HB258">
        <v>0</v>
      </c>
      <c r="HC258">
        <f>GV258*GW258</f>
        <v>0</v>
      </c>
      <c r="IK258">
        <v>0</v>
      </c>
    </row>
    <row r="260" spans="1:245" x14ac:dyDescent="0.2">
      <c r="A260" s="2">
        <v>51</v>
      </c>
      <c r="B260" s="2">
        <f>B251</f>
        <v>1</v>
      </c>
      <c r="C260" s="2">
        <f>A251</f>
        <v>4</v>
      </c>
      <c r="D260" s="2">
        <f>ROW(A251)</f>
        <v>251</v>
      </c>
      <c r="E260" s="2"/>
      <c r="F260" s="2" t="str">
        <f>IF(F251&lt;&gt;"",F251,"")</f>
        <v>Новый раздел</v>
      </c>
      <c r="G260" s="2" t="str">
        <f>IF(G251&lt;&gt;"",G251,"")</f>
        <v xml:space="preserve">Раздел 24.1 Устройство покрытия на площадке для игровых видов спорта (1 см - EPDM) </v>
      </c>
      <c r="H260" s="2">
        <v>0</v>
      </c>
      <c r="I260" s="2"/>
      <c r="J260" s="2"/>
      <c r="K260" s="2"/>
      <c r="L260" s="2"/>
      <c r="M260" s="2"/>
      <c r="N260" s="2"/>
      <c r="O260" s="2">
        <f t="shared" ref="O260:T260" si="220">ROUND(AB260,2)</f>
        <v>2317622.13</v>
      </c>
      <c r="P260" s="2">
        <f t="shared" si="220"/>
        <v>2223907.81</v>
      </c>
      <c r="Q260" s="2">
        <f t="shared" si="220"/>
        <v>36641.5</v>
      </c>
      <c r="R260" s="2">
        <f t="shared" si="220"/>
        <v>28888.44</v>
      </c>
      <c r="S260" s="2">
        <f t="shared" si="220"/>
        <v>57072.82</v>
      </c>
      <c r="T260" s="2">
        <f t="shared" si="220"/>
        <v>0</v>
      </c>
      <c r="U260" s="2">
        <f>AH260</f>
        <v>258.16000000000003</v>
      </c>
      <c r="V260" s="2">
        <f>AI260</f>
        <v>0</v>
      </c>
      <c r="W260" s="2">
        <f>ROUND(AJ260,2)</f>
        <v>0</v>
      </c>
      <c r="X260" s="2">
        <f>ROUND(AK260,2)</f>
        <v>39950.97</v>
      </c>
      <c r="Y260" s="2">
        <f>ROUND(AL260,2)</f>
        <v>5707.28</v>
      </c>
      <c r="Z260" s="2"/>
      <c r="AA260" s="2"/>
      <c r="AB260" s="2">
        <f>ROUND(SUMIF(AA255:AA258,"=42184655",O255:O258),2)</f>
        <v>2317622.13</v>
      </c>
      <c r="AC260" s="2">
        <f>ROUND(SUMIF(AA255:AA258,"=42184655",P255:P258),2)</f>
        <v>2223907.81</v>
      </c>
      <c r="AD260" s="2">
        <f>ROUND(SUMIF(AA255:AA258,"=42184655",Q255:Q258),2)</f>
        <v>36641.5</v>
      </c>
      <c r="AE260" s="2">
        <f>ROUND(SUMIF(AA255:AA258,"=42184655",R255:R258),2)</f>
        <v>28888.44</v>
      </c>
      <c r="AF260" s="2">
        <f>ROUND(SUMIF(AA255:AA258,"=42184655",S255:S258),2)</f>
        <v>57072.82</v>
      </c>
      <c r="AG260" s="2">
        <f>ROUND(SUMIF(AA255:AA258,"=42184655",T255:T258),2)</f>
        <v>0</v>
      </c>
      <c r="AH260" s="2">
        <f>SUMIF(AA255:AA258,"=42184655",U255:U258)</f>
        <v>258.16000000000003</v>
      </c>
      <c r="AI260" s="2">
        <f>SUMIF(AA255:AA258,"=42184655",V255:V258)</f>
        <v>0</v>
      </c>
      <c r="AJ260" s="2">
        <f>ROUND(SUMIF(AA255:AA258,"=42184655",W255:W258),2)</f>
        <v>0</v>
      </c>
      <c r="AK260" s="2">
        <f>ROUND(SUMIF(AA255:AA258,"=42184655",X255:X258),2)</f>
        <v>39950.97</v>
      </c>
      <c r="AL260" s="2">
        <f>ROUND(SUMIF(AA255:AA258,"=42184655",Y255:Y258),2)</f>
        <v>5707.28</v>
      </c>
      <c r="AM260" s="2"/>
      <c r="AN260" s="2"/>
      <c r="AO260" s="2">
        <f t="shared" ref="AO260:BC260" si="221">ROUND(BX260,2)</f>
        <v>0</v>
      </c>
      <c r="AP260" s="2">
        <f t="shared" si="221"/>
        <v>0</v>
      </c>
      <c r="AQ260" s="2">
        <f t="shared" si="221"/>
        <v>0</v>
      </c>
      <c r="AR260" s="2">
        <f t="shared" si="221"/>
        <v>2394479.9</v>
      </c>
      <c r="AS260" s="2">
        <f t="shared" si="221"/>
        <v>0</v>
      </c>
      <c r="AT260" s="2">
        <f t="shared" si="221"/>
        <v>0</v>
      </c>
      <c r="AU260" s="2">
        <f t="shared" si="221"/>
        <v>2394479.9</v>
      </c>
      <c r="AV260" s="2">
        <f t="shared" si="221"/>
        <v>2223907.81</v>
      </c>
      <c r="AW260" s="2">
        <f t="shared" si="221"/>
        <v>2223907.81</v>
      </c>
      <c r="AX260" s="2">
        <f t="shared" si="221"/>
        <v>0</v>
      </c>
      <c r="AY260" s="2">
        <f t="shared" si="221"/>
        <v>2223907.81</v>
      </c>
      <c r="AZ260" s="2">
        <f t="shared" si="221"/>
        <v>0</v>
      </c>
      <c r="BA260" s="2">
        <f t="shared" si="221"/>
        <v>0</v>
      </c>
      <c r="BB260" s="2">
        <f t="shared" si="221"/>
        <v>0</v>
      </c>
      <c r="BC260" s="2">
        <f t="shared" si="221"/>
        <v>0</v>
      </c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>
        <f>ROUND(SUMIF(AA255:AA258,"=42184655",FQ255:FQ258),2)</f>
        <v>0</v>
      </c>
      <c r="BY260" s="2">
        <f>ROUND(SUMIF(AA255:AA258,"=42184655",FR255:FR258),2)</f>
        <v>0</v>
      </c>
      <c r="BZ260" s="2">
        <f>ROUND(SUMIF(AA255:AA258,"=42184655",GL255:GL258),2)</f>
        <v>0</v>
      </c>
      <c r="CA260" s="2">
        <f>ROUND(SUMIF(AA255:AA258,"=42184655",GM255:GM258),2)</f>
        <v>2394479.9</v>
      </c>
      <c r="CB260" s="2">
        <f>ROUND(SUMIF(AA255:AA258,"=42184655",GN255:GN258),2)</f>
        <v>0</v>
      </c>
      <c r="CC260" s="2">
        <f>ROUND(SUMIF(AA255:AA258,"=42184655",GO255:GO258),2)</f>
        <v>0</v>
      </c>
      <c r="CD260" s="2">
        <f>ROUND(SUMIF(AA255:AA258,"=42184655",GP255:GP258),2)</f>
        <v>2394479.9</v>
      </c>
      <c r="CE260" s="2">
        <f>AC260-BX260</f>
        <v>2223907.81</v>
      </c>
      <c r="CF260" s="2">
        <f>AC260-BY260</f>
        <v>2223907.81</v>
      </c>
      <c r="CG260" s="2">
        <f>BX260-BZ260</f>
        <v>0</v>
      </c>
      <c r="CH260" s="2">
        <f>AC260-BX260-BY260+BZ260</f>
        <v>2223907.81</v>
      </c>
      <c r="CI260" s="2">
        <f>BY260-BZ260</f>
        <v>0</v>
      </c>
      <c r="CJ260" s="2">
        <f>ROUND(SUMIF(AA255:AA258,"=42184655",GX255:GX258),2)</f>
        <v>0</v>
      </c>
      <c r="CK260" s="2">
        <f>ROUND(SUMIF(AA255:AA258,"=42184655",GY255:GY258),2)</f>
        <v>0</v>
      </c>
      <c r="CL260" s="2">
        <f>ROUND(SUMIF(AA255:AA258,"=42184655",GZ255:GZ258),2)</f>
        <v>0</v>
      </c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>
        <v>0</v>
      </c>
    </row>
    <row r="262" spans="1:245" x14ac:dyDescent="0.2">
      <c r="A262" s="4">
        <v>50</v>
      </c>
      <c r="B262" s="4">
        <v>0</v>
      </c>
      <c r="C262" s="4">
        <v>0</v>
      </c>
      <c r="D262" s="4">
        <v>1</v>
      </c>
      <c r="E262" s="4">
        <v>201</v>
      </c>
      <c r="F262" s="4">
        <f>ROUND(Source!O260,O262)</f>
        <v>2317622.13</v>
      </c>
      <c r="G262" s="4" t="s">
        <v>71</v>
      </c>
      <c r="H262" s="4" t="s">
        <v>72</v>
      </c>
      <c r="I262" s="4"/>
      <c r="J262" s="4"/>
      <c r="K262" s="4">
        <v>201</v>
      </c>
      <c r="L262" s="4">
        <v>1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45" x14ac:dyDescent="0.2">
      <c r="A263" s="4">
        <v>50</v>
      </c>
      <c r="B263" s="4">
        <v>0</v>
      </c>
      <c r="C263" s="4">
        <v>0</v>
      </c>
      <c r="D263" s="4">
        <v>1</v>
      </c>
      <c r="E263" s="4">
        <v>202</v>
      </c>
      <c r="F263" s="4">
        <f>ROUND(Source!P260,O263)</f>
        <v>2223907.81</v>
      </c>
      <c r="G263" s="4" t="s">
        <v>73</v>
      </c>
      <c r="H263" s="4" t="s">
        <v>74</v>
      </c>
      <c r="I263" s="4"/>
      <c r="J263" s="4"/>
      <c r="K263" s="4">
        <v>202</v>
      </c>
      <c r="L263" s="4">
        <v>2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45" x14ac:dyDescent="0.2">
      <c r="A264" s="4">
        <v>50</v>
      </c>
      <c r="B264" s="4">
        <v>0</v>
      </c>
      <c r="C264" s="4">
        <v>0</v>
      </c>
      <c r="D264" s="4">
        <v>1</v>
      </c>
      <c r="E264" s="4">
        <v>222</v>
      </c>
      <c r="F264" s="4">
        <f>ROUND(Source!AO260,O264)</f>
        <v>0</v>
      </c>
      <c r="G264" s="4" t="s">
        <v>75</v>
      </c>
      <c r="H264" s="4" t="s">
        <v>76</v>
      </c>
      <c r="I264" s="4"/>
      <c r="J264" s="4"/>
      <c r="K264" s="4">
        <v>222</v>
      </c>
      <c r="L264" s="4">
        <v>3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45" x14ac:dyDescent="0.2">
      <c r="A265" s="4">
        <v>50</v>
      </c>
      <c r="B265" s="4">
        <v>0</v>
      </c>
      <c r="C265" s="4">
        <v>0</v>
      </c>
      <c r="D265" s="4">
        <v>1</v>
      </c>
      <c r="E265" s="4">
        <v>225</v>
      </c>
      <c r="F265" s="4">
        <f>ROUND(Source!AV260,O265)</f>
        <v>2223907.81</v>
      </c>
      <c r="G265" s="4" t="s">
        <v>77</v>
      </c>
      <c r="H265" s="4" t="s">
        <v>78</v>
      </c>
      <c r="I265" s="4"/>
      <c r="J265" s="4"/>
      <c r="K265" s="4">
        <v>225</v>
      </c>
      <c r="L265" s="4">
        <v>4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45" x14ac:dyDescent="0.2">
      <c r="A266" s="4">
        <v>50</v>
      </c>
      <c r="B266" s="4">
        <v>0</v>
      </c>
      <c r="C266" s="4">
        <v>0</v>
      </c>
      <c r="D266" s="4">
        <v>1</v>
      </c>
      <c r="E266" s="4">
        <v>226</v>
      </c>
      <c r="F266" s="4">
        <f>ROUND(Source!AW260,O266)</f>
        <v>2223907.81</v>
      </c>
      <c r="G266" s="4" t="s">
        <v>79</v>
      </c>
      <c r="H266" s="4" t="s">
        <v>80</v>
      </c>
      <c r="I266" s="4"/>
      <c r="J266" s="4"/>
      <c r="K266" s="4">
        <v>226</v>
      </c>
      <c r="L266" s="4">
        <v>5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45" x14ac:dyDescent="0.2">
      <c r="A267" s="4">
        <v>50</v>
      </c>
      <c r="B267" s="4">
        <v>0</v>
      </c>
      <c r="C267" s="4">
        <v>0</v>
      </c>
      <c r="D267" s="4">
        <v>1</v>
      </c>
      <c r="E267" s="4">
        <v>227</v>
      </c>
      <c r="F267" s="4">
        <f>ROUND(Source!AX260,O267)</f>
        <v>0</v>
      </c>
      <c r="G267" s="4" t="s">
        <v>81</v>
      </c>
      <c r="H267" s="4" t="s">
        <v>82</v>
      </c>
      <c r="I267" s="4"/>
      <c r="J267" s="4"/>
      <c r="K267" s="4">
        <v>227</v>
      </c>
      <c r="L267" s="4">
        <v>6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45" x14ac:dyDescent="0.2">
      <c r="A268" s="4">
        <v>50</v>
      </c>
      <c r="B268" s="4">
        <v>0</v>
      </c>
      <c r="C268" s="4">
        <v>0</v>
      </c>
      <c r="D268" s="4">
        <v>1</v>
      </c>
      <c r="E268" s="4">
        <v>228</v>
      </c>
      <c r="F268" s="4">
        <f>ROUND(Source!AY260,O268)</f>
        <v>2223907.81</v>
      </c>
      <c r="G268" s="4" t="s">
        <v>83</v>
      </c>
      <c r="H268" s="4" t="s">
        <v>84</v>
      </c>
      <c r="I268" s="4"/>
      <c r="J268" s="4"/>
      <c r="K268" s="4">
        <v>228</v>
      </c>
      <c r="L268" s="4">
        <v>7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45" x14ac:dyDescent="0.2">
      <c r="A269" s="4">
        <v>50</v>
      </c>
      <c r="B269" s="4">
        <v>0</v>
      </c>
      <c r="C269" s="4">
        <v>0</v>
      </c>
      <c r="D269" s="4">
        <v>1</v>
      </c>
      <c r="E269" s="4">
        <v>216</v>
      </c>
      <c r="F269" s="4">
        <f>ROUND(Source!AP260,O269)</f>
        <v>0</v>
      </c>
      <c r="G269" s="4" t="s">
        <v>85</v>
      </c>
      <c r="H269" s="4" t="s">
        <v>86</v>
      </c>
      <c r="I269" s="4"/>
      <c r="J269" s="4"/>
      <c r="K269" s="4">
        <v>216</v>
      </c>
      <c r="L269" s="4">
        <v>8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45" x14ac:dyDescent="0.2">
      <c r="A270" s="4">
        <v>50</v>
      </c>
      <c r="B270" s="4">
        <v>0</v>
      </c>
      <c r="C270" s="4">
        <v>0</v>
      </c>
      <c r="D270" s="4">
        <v>1</v>
      </c>
      <c r="E270" s="4">
        <v>223</v>
      </c>
      <c r="F270" s="4">
        <f>ROUND(Source!AQ260,O270)</f>
        <v>0</v>
      </c>
      <c r="G270" s="4" t="s">
        <v>87</v>
      </c>
      <c r="H270" s="4" t="s">
        <v>88</v>
      </c>
      <c r="I270" s="4"/>
      <c r="J270" s="4"/>
      <c r="K270" s="4">
        <v>223</v>
      </c>
      <c r="L270" s="4">
        <v>9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45" x14ac:dyDescent="0.2">
      <c r="A271" s="4">
        <v>50</v>
      </c>
      <c r="B271" s="4">
        <v>0</v>
      </c>
      <c r="C271" s="4">
        <v>0</v>
      </c>
      <c r="D271" s="4">
        <v>1</v>
      </c>
      <c r="E271" s="4">
        <v>229</v>
      </c>
      <c r="F271" s="4">
        <f>ROUND(Source!AZ260,O271)</f>
        <v>0</v>
      </c>
      <c r="G271" s="4" t="s">
        <v>89</v>
      </c>
      <c r="H271" s="4" t="s">
        <v>90</v>
      </c>
      <c r="I271" s="4"/>
      <c r="J271" s="4"/>
      <c r="K271" s="4">
        <v>229</v>
      </c>
      <c r="L271" s="4">
        <v>10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45" x14ac:dyDescent="0.2">
      <c r="A272" s="4">
        <v>50</v>
      </c>
      <c r="B272" s="4">
        <v>0</v>
      </c>
      <c r="C272" s="4">
        <v>0</v>
      </c>
      <c r="D272" s="4">
        <v>1</v>
      </c>
      <c r="E272" s="4">
        <v>203</v>
      </c>
      <c r="F272" s="4">
        <f>ROUND(Source!Q260,O272)</f>
        <v>36641.5</v>
      </c>
      <c r="G272" s="4" t="s">
        <v>91</v>
      </c>
      <c r="H272" s="4" t="s">
        <v>92</v>
      </c>
      <c r="I272" s="4"/>
      <c r="J272" s="4"/>
      <c r="K272" s="4">
        <v>203</v>
      </c>
      <c r="L272" s="4">
        <v>11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x14ac:dyDescent="0.2">
      <c r="A273" s="4">
        <v>50</v>
      </c>
      <c r="B273" s="4">
        <v>0</v>
      </c>
      <c r="C273" s="4">
        <v>0</v>
      </c>
      <c r="D273" s="4">
        <v>1</v>
      </c>
      <c r="E273" s="4">
        <v>231</v>
      </c>
      <c r="F273" s="4">
        <f>ROUND(Source!BB260,O273)</f>
        <v>0</v>
      </c>
      <c r="G273" s="4" t="s">
        <v>93</v>
      </c>
      <c r="H273" s="4" t="s">
        <v>94</v>
      </c>
      <c r="I273" s="4"/>
      <c r="J273" s="4"/>
      <c r="K273" s="4">
        <v>231</v>
      </c>
      <c r="L273" s="4">
        <v>12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2">
      <c r="A274" s="4">
        <v>50</v>
      </c>
      <c r="B274" s="4">
        <v>0</v>
      </c>
      <c r="C274" s="4">
        <v>0</v>
      </c>
      <c r="D274" s="4">
        <v>1</v>
      </c>
      <c r="E274" s="4">
        <v>204</v>
      </c>
      <c r="F274" s="4">
        <f>ROUND(Source!R260,O274)</f>
        <v>28888.44</v>
      </c>
      <c r="G274" s="4" t="s">
        <v>95</v>
      </c>
      <c r="H274" s="4" t="s">
        <v>96</v>
      </c>
      <c r="I274" s="4"/>
      <c r="J274" s="4"/>
      <c r="K274" s="4">
        <v>204</v>
      </c>
      <c r="L274" s="4">
        <v>13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2">
      <c r="A275" s="4">
        <v>50</v>
      </c>
      <c r="B275" s="4">
        <v>0</v>
      </c>
      <c r="C275" s="4">
        <v>0</v>
      </c>
      <c r="D275" s="4">
        <v>1</v>
      </c>
      <c r="E275" s="4">
        <v>205</v>
      </c>
      <c r="F275" s="4">
        <f>ROUND(Source!S260,O275)</f>
        <v>57072.82</v>
      </c>
      <c r="G275" s="4" t="s">
        <v>97</v>
      </c>
      <c r="H275" s="4" t="s">
        <v>98</v>
      </c>
      <c r="I275" s="4"/>
      <c r="J275" s="4"/>
      <c r="K275" s="4">
        <v>205</v>
      </c>
      <c r="L275" s="4">
        <v>14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2">
      <c r="A276" s="4">
        <v>50</v>
      </c>
      <c r="B276" s="4">
        <v>0</v>
      </c>
      <c r="C276" s="4">
        <v>0</v>
      </c>
      <c r="D276" s="4">
        <v>1</v>
      </c>
      <c r="E276" s="4">
        <v>232</v>
      </c>
      <c r="F276" s="4">
        <f>ROUND(Source!BC260,O276)</f>
        <v>0</v>
      </c>
      <c r="G276" s="4" t="s">
        <v>99</v>
      </c>
      <c r="H276" s="4" t="s">
        <v>100</v>
      </c>
      <c r="I276" s="4"/>
      <c r="J276" s="4"/>
      <c r="K276" s="4">
        <v>232</v>
      </c>
      <c r="L276" s="4">
        <v>15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2">
      <c r="A277" s="4">
        <v>50</v>
      </c>
      <c r="B277" s="4">
        <v>0</v>
      </c>
      <c r="C277" s="4">
        <v>0</v>
      </c>
      <c r="D277" s="4">
        <v>1</v>
      </c>
      <c r="E277" s="4">
        <v>214</v>
      </c>
      <c r="F277" s="4">
        <f>ROUND(Source!AS260,O277)</f>
        <v>0</v>
      </c>
      <c r="G277" s="4" t="s">
        <v>101</v>
      </c>
      <c r="H277" s="4" t="s">
        <v>102</v>
      </c>
      <c r="I277" s="4"/>
      <c r="J277" s="4"/>
      <c r="K277" s="4">
        <v>214</v>
      </c>
      <c r="L277" s="4">
        <v>16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2">
      <c r="A278" s="4">
        <v>50</v>
      </c>
      <c r="B278" s="4">
        <v>0</v>
      </c>
      <c r="C278" s="4">
        <v>0</v>
      </c>
      <c r="D278" s="4">
        <v>1</v>
      </c>
      <c r="E278" s="4">
        <v>215</v>
      </c>
      <c r="F278" s="4">
        <f>ROUND(Source!AT260,O278)</f>
        <v>0</v>
      </c>
      <c r="G278" s="4" t="s">
        <v>103</v>
      </c>
      <c r="H278" s="4" t="s">
        <v>104</v>
      </c>
      <c r="I278" s="4"/>
      <c r="J278" s="4"/>
      <c r="K278" s="4">
        <v>215</v>
      </c>
      <c r="L278" s="4">
        <v>17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2">
      <c r="A279" s="4">
        <v>50</v>
      </c>
      <c r="B279" s="4">
        <v>0</v>
      </c>
      <c r="C279" s="4">
        <v>0</v>
      </c>
      <c r="D279" s="4">
        <v>1</v>
      </c>
      <c r="E279" s="4">
        <v>217</v>
      </c>
      <c r="F279" s="4">
        <f>ROUND(Source!AU260,O279)</f>
        <v>2394479.9</v>
      </c>
      <c r="G279" s="4" t="s">
        <v>105</v>
      </c>
      <c r="H279" s="4" t="s">
        <v>106</v>
      </c>
      <c r="I279" s="4"/>
      <c r="J279" s="4"/>
      <c r="K279" s="4">
        <v>217</v>
      </c>
      <c r="L279" s="4">
        <v>18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2">
      <c r="A280" s="4">
        <v>50</v>
      </c>
      <c r="B280" s="4">
        <v>0</v>
      </c>
      <c r="C280" s="4">
        <v>0</v>
      </c>
      <c r="D280" s="4">
        <v>1</v>
      </c>
      <c r="E280" s="4">
        <v>230</v>
      </c>
      <c r="F280" s="4">
        <f>ROUND(Source!BA260,O280)</f>
        <v>0</v>
      </c>
      <c r="G280" s="4" t="s">
        <v>107</v>
      </c>
      <c r="H280" s="4" t="s">
        <v>108</v>
      </c>
      <c r="I280" s="4"/>
      <c r="J280" s="4"/>
      <c r="K280" s="4">
        <v>230</v>
      </c>
      <c r="L280" s="4">
        <v>19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2">
      <c r="A281" s="4">
        <v>50</v>
      </c>
      <c r="B281" s="4">
        <v>0</v>
      </c>
      <c r="C281" s="4">
        <v>0</v>
      </c>
      <c r="D281" s="4">
        <v>1</v>
      </c>
      <c r="E281" s="4">
        <v>206</v>
      </c>
      <c r="F281" s="4">
        <f>ROUND(Source!T260,O281)</f>
        <v>0</v>
      </c>
      <c r="G281" s="4" t="s">
        <v>109</v>
      </c>
      <c r="H281" s="4" t="s">
        <v>110</v>
      </c>
      <c r="I281" s="4"/>
      <c r="J281" s="4"/>
      <c r="K281" s="4">
        <v>206</v>
      </c>
      <c r="L281" s="4">
        <v>20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2">
      <c r="A282" s="4">
        <v>50</v>
      </c>
      <c r="B282" s="4">
        <v>0</v>
      </c>
      <c r="C282" s="4">
        <v>0</v>
      </c>
      <c r="D282" s="4">
        <v>1</v>
      </c>
      <c r="E282" s="4">
        <v>207</v>
      </c>
      <c r="F282" s="4">
        <f>Source!U260</f>
        <v>258.16000000000003</v>
      </c>
      <c r="G282" s="4" t="s">
        <v>111</v>
      </c>
      <c r="H282" s="4" t="s">
        <v>112</v>
      </c>
      <c r="I282" s="4"/>
      <c r="J282" s="4"/>
      <c r="K282" s="4">
        <v>207</v>
      </c>
      <c r="L282" s="4">
        <v>21</v>
      </c>
      <c r="M282" s="4">
        <v>3</v>
      </c>
      <c r="N282" s="4" t="s">
        <v>3</v>
      </c>
      <c r="O282" s="4">
        <v>-1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2">
      <c r="A283" s="4">
        <v>50</v>
      </c>
      <c r="B283" s="4">
        <v>0</v>
      </c>
      <c r="C283" s="4">
        <v>0</v>
      </c>
      <c r="D283" s="4">
        <v>1</v>
      </c>
      <c r="E283" s="4">
        <v>208</v>
      </c>
      <c r="F283" s="4">
        <f>Source!V260</f>
        <v>0</v>
      </c>
      <c r="G283" s="4" t="s">
        <v>113</v>
      </c>
      <c r="H283" s="4" t="s">
        <v>114</v>
      </c>
      <c r="I283" s="4"/>
      <c r="J283" s="4"/>
      <c r="K283" s="4">
        <v>208</v>
      </c>
      <c r="L283" s="4">
        <v>22</v>
      </c>
      <c r="M283" s="4">
        <v>3</v>
      </c>
      <c r="N283" s="4" t="s">
        <v>3</v>
      </c>
      <c r="O283" s="4">
        <v>-1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2">
      <c r="A284" s="4">
        <v>50</v>
      </c>
      <c r="B284" s="4">
        <v>0</v>
      </c>
      <c r="C284" s="4">
        <v>0</v>
      </c>
      <c r="D284" s="4">
        <v>1</v>
      </c>
      <c r="E284" s="4">
        <v>209</v>
      </c>
      <c r="F284" s="4">
        <f>ROUND(Source!W260,O284)</f>
        <v>0</v>
      </c>
      <c r="G284" s="4" t="s">
        <v>115</v>
      </c>
      <c r="H284" s="4" t="s">
        <v>116</v>
      </c>
      <c r="I284" s="4"/>
      <c r="J284" s="4"/>
      <c r="K284" s="4">
        <v>209</v>
      </c>
      <c r="L284" s="4">
        <v>23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2">
      <c r="A285" s="4">
        <v>50</v>
      </c>
      <c r="B285" s="4">
        <v>0</v>
      </c>
      <c r="C285" s="4">
        <v>0</v>
      </c>
      <c r="D285" s="4">
        <v>1</v>
      </c>
      <c r="E285" s="4">
        <v>210</v>
      </c>
      <c r="F285" s="4">
        <f>ROUND(Source!X260,O285)</f>
        <v>39950.97</v>
      </c>
      <c r="G285" s="4" t="s">
        <v>117</v>
      </c>
      <c r="H285" s="4" t="s">
        <v>118</v>
      </c>
      <c r="I285" s="4"/>
      <c r="J285" s="4"/>
      <c r="K285" s="4">
        <v>210</v>
      </c>
      <c r="L285" s="4">
        <v>24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2">
      <c r="A286" s="4">
        <v>50</v>
      </c>
      <c r="B286" s="4">
        <v>0</v>
      </c>
      <c r="C286" s="4">
        <v>0</v>
      </c>
      <c r="D286" s="4">
        <v>1</v>
      </c>
      <c r="E286" s="4">
        <v>211</v>
      </c>
      <c r="F286" s="4">
        <f>ROUND(Source!Y260,O286)</f>
        <v>5707.28</v>
      </c>
      <c r="G286" s="4" t="s">
        <v>119</v>
      </c>
      <c r="H286" s="4" t="s">
        <v>120</v>
      </c>
      <c r="I286" s="4"/>
      <c r="J286" s="4"/>
      <c r="K286" s="4">
        <v>211</v>
      </c>
      <c r="L286" s="4">
        <v>25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2">
      <c r="A287" s="4">
        <v>50</v>
      </c>
      <c r="B287" s="4">
        <v>0</v>
      </c>
      <c r="C287" s="4">
        <v>0</v>
      </c>
      <c r="D287" s="4">
        <v>1</v>
      </c>
      <c r="E287" s="4">
        <v>224</v>
      </c>
      <c r="F287" s="4">
        <f>ROUND(Source!AR260,O287)</f>
        <v>2394479.9</v>
      </c>
      <c r="G287" s="4" t="s">
        <v>121</v>
      </c>
      <c r="H287" s="4" t="s">
        <v>122</v>
      </c>
      <c r="I287" s="4"/>
      <c r="J287" s="4"/>
      <c r="K287" s="4">
        <v>224</v>
      </c>
      <c r="L287" s="4">
        <v>26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2">
      <c r="A288" s="4">
        <v>50</v>
      </c>
      <c r="B288" s="4">
        <v>1</v>
      </c>
      <c r="C288" s="4">
        <v>0</v>
      </c>
      <c r="D288" s="4">
        <v>2</v>
      </c>
      <c r="E288" s="4">
        <v>0</v>
      </c>
      <c r="F288" s="4">
        <f>ROUND(F287,O288)</f>
        <v>2394479.9</v>
      </c>
      <c r="G288" s="4" t="s">
        <v>19</v>
      </c>
      <c r="H288" s="4" t="s">
        <v>123</v>
      </c>
      <c r="I288" s="4"/>
      <c r="J288" s="4"/>
      <c r="K288" s="4">
        <v>212</v>
      </c>
      <c r="L288" s="4">
        <v>27</v>
      </c>
      <c r="M288" s="4">
        <v>0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45" x14ac:dyDescent="0.2">
      <c r="A289" s="4">
        <v>50</v>
      </c>
      <c r="B289" s="4">
        <v>1</v>
      </c>
      <c r="C289" s="4">
        <v>0</v>
      </c>
      <c r="D289" s="4">
        <v>2</v>
      </c>
      <c r="E289" s="4">
        <v>0</v>
      </c>
      <c r="F289" s="4">
        <f>ROUND(F288*0.2,O289)</f>
        <v>478895.98</v>
      </c>
      <c r="G289" s="4" t="s">
        <v>27</v>
      </c>
      <c r="H289" s="4" t="s">
        <v>124</v>
      </c>
      <c r="I289" s="4"/>
      <c r="J289" s="4"/>
      <c r="K289" s="4">
        <v>212</v>
      </c>
      <c r="L289" s="4">
        <v>28</v>
      </c>
      <c r="M289" s="4">
        <v>0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45" x14ac:dyDescent="0.2">
      <c r="A290" s="4">
        <v>50</v>
      </c>
      <c r="B290" s="4">
        <v>1</v>
      </c>
      <c r="C290" s="4">
        <v>0</v>
      </c>
      <c r="D290" s="4">
        <v>2</v>
      </c>
      <c r="E290" s="4">
        <v>0</v>
      </c>
      <c r="F290" s="4">
        <f>ROUND(F288+F289,O290)</f>
        <v>2873375.88</v>
      </c>
      <c r="G290" s="4" t="s">
        <v>31</v>
      </c>
      <c r="H290" s="4" t="s">
        <v>121</v>
      </c>
      <c r="I290" s="4"/>
      <c r="J290" s="4"/>
      <c r="K290" s="4">
        <v>212</v>
      </c>
      <c r="L290" s="4">
        <v>29</v>
      </c>
      <c r="M290" s="4">
        <v>0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2" spans="1:245" x14ac:dyDescent="0.2">
      <c r="A292" s="1">
        <v>4</v>
      </c>
      <c r="B292" s="1">
        <v>1</v>
      </c>
      <c r="C292" s="1"/>
      <c r="D292" s="1">
        <f>ROW(A307)</f>
        <v>307</v>
      </c>
      <c r="E292" s="1"/>
      <c r="F292" s="1" t="s">
        <v>17</v>
      </c>
      <c r="G292" s="1" t="s">
        <v>234</v>
      </c>
      <c r="H292" s="1" t="s">
        <v>3</v>
      </c>
      <c r="I292" s="1">
        <v>0</v>
      </c>
      <c r="J292" s="1"/>
      <c r="K292" s="1">
        <v>-1</v>
      </c>
      <c r="L292" s="1"/>
      <c r="M292" s="1"/>
      <c r="N292" s="1"/>
      <c r="O292" s="1"/>
      <c r="P292" s="1"/>
      <c r="Q292" s="1"/>
      <c r="R292" s="1"/>
      <c r="S292" s="1"/>
      <c r="T292" s="1"/>
      <c r="U292" s="1" t="s">
        <v>3</v>
      </c>
      <c r="V292" s="1">
        <v>0</v>
      </c>
      <c r="W292" s="1"/>
      <c r="X292" s="1"/>
      <c r="Y292" s="1"/>
      <c r="Z292" s="1"/>
      <c r="AA292" s="1"/>
      <c r="AB292" s="1" t="s">
        <v>3</v>
      </c>
      <c r="AC292" s="1" t="s">
        <v>3</v>
      </c>
      <c r="AD292" s="1" t="s">
        <v>3</v>
      </c>
      <c r="AE292" s="1" t="s">
        <v>3</v>
      </c>
      <c r="AF292" s="1" t="s">
        <v>3</v>
      </c>
      <c r="AG292" s="1" t="s">
        <v>3</v>
      </c>
      <c r="AH292" s="1"/>
      <c r="AI292" s="1"/>
      <c r="AJ292" s="1"/>
      <c r="AK292" s="1"/>
      <c r="AL292" s="1"/>
      <c r="AM292" s="1"/>
      <c r="AN292" s="1"/>
      <c r="AO292" s="1"/>
      <c r="AP292" s="1" t="s">
        <v>3</v>
      </c>
      <c r="AQ292" s="1" t="s">
        <v>3</v>
      </c>
      <c r="AR292" s="1" t="s">
        <v>3</v>
      </c>
      <c r="AS292" s="1"/>
      <c r="AT292" s="1"/>
      <c r="AU292" s="1"/>
      <c r="AV292" s="1"/>
      <c r="AW292" s="1"/>
      <c r="AX292" s="1"/>
      <c r="AY292" s="1"/>
      <c r="AZ292" s="1" t="s">
        <v>3</v>
      </c>
      <c r="BA292" s="1"/>
      <c r="BB292" s="1" t="s">
        <v>3</v>
      </c>
      <c r="BC292" s="1" t="s">
        <v>3</v>
      </c>
      <c r="BD292" s="1" t="s">
        <v>3</v>
      </c>
      <c r="BE292" s="1" t="s">
        <v>3</v>
      </c>
      <c r="BF292" s="1" t="s">
        <v>3</v>
      </c>
      <c r="BG292" s="1" t="s">
        <v>3</v>
      </c>
      <c r="BH292" s="1" t="s">
        <v>3</v>
      </c>
      <c r="BI292" s="1" t="s">
        <v>3</v>
      </c>
      <c r="BJ292" s="1" t="s">
        <v>3</v>
      </c>
      <c r="BK292" s="1" t="s">
        <v>3</v>
      </c>
      <c r="BL292" s="1" t="s">
        <v>3</v>
      </c>
      <c r="BM292" s="1" t="s">
        <v>3</v>
      </c>
      <c r="BN292" s="1" t="s">
        <v>3</v>
      </c>
      <c r="BO292" s="1" t="s">
        <v>3</v>
      </c>
      <c r="BP292" s="1" t="s">
        <v>3</v>
      </c>
      <c r="BQ292" s="1"/>
      <c r="BR292" s="1"/>
      <c r="BS292" s="1"/>
      <c r="BT292" s="1"/>
      <c r="BU292" s="1"/>
      <c r="BV292" s="1"/>
      <c r="BW292" s="1"/>
      <c r="BX292" s="1">
        <v>0</v>
      </c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>
        <v>0</v>
      </c>
    </row>
    <row r="294" spans="1:245" x14ac:dyDescent="0.2">
      <c r="A294" s="2">
        <v>52</v>
      </c>
      <c r="B294" s="2">
        <f t="shared" ref="B294:G294" si="222">B307</f>
        <v>1</v>
      </c>
      <c r="C294" s="2">
        <f t="shared" si="222"/>
        <v>4</v>
      </c>
      <c r="D294" s="2">
        <f t="shared" si="222"/>
        <v>292</v>
      </c>
      <c r="E294" s="2">
        <f t="shared" si="222"/>
        <v>0</v>
      </c>
      <c r="F294" s="2" t="str">
        <f t="shared" si="222"/>
        <v>Новый раздел</v>
      </c>
      <c r="G294" s="2" t="str">
        <f t="shared" si="222"/>
        <v>Раздел 27.1 Устройство нового пешеходного покрытия из бетонной плитки - 60 м2</v>
      </c>
      <c r="H294" s="2"/>
      <c r="I294" s="2"/>
      <c r="J294" s="2"/>
      <c r="K294" s="2"/>
      <c r="L294" s="2"/>
      <c r="M294" s="2"/>
      <c r="N294" s="2"/>
      <c r="O294" s="2">
        <f t="shared" ref="O294:AT294" si="223">O307</f>
        <v>139688.67000000001</v>
      </c>
      <c r="P294" s="2">
        <f t="shared" si="223"/>
        <v>91977.85</v>
      </c>
      <c r="Q294" s="2">
        <f t="shared" si="223"/>
        <v>29522.45</v>
      </c>
      <c r="R294" s="2">
        <f t="shared" si="223"/>
        <v>14920.05</v>
      </c>
      <c r="S294" s="2">
        <f t="shared" si="223"/>
        <v>18188.37</v>
      </c>
      <c r="T294" s="2">
        <f t="shared" si="223"/>
        <v>0</v>
      </c>
      <c r="U294" s="2">
        <f t="shared" si="223"/>
        <v>90.524298000000002</v>
      </c>
      <c r="V294" s="2">
        <f t="shared" si="223"/>
        <v>0</v>
      </c>
      <c r="W294" s="2">
        <f t="shared" si="223"/>
        <v>0</v>
      </c>
      <c r="X294" s="2">
        <f t="shared" si="223"/>
        <v>12731.86</v>
      </c>
      <c r="Y294" s="2">
        <f t="shared" si="223"/>
        <v>1818.83</v>
      </c>
      <c r="Z294" s="2">
        <f t="shared" si="223"/>
        <v>0</v>
      </c>
      <c r="AA294" s="2">
        <f t="shared" si="223"/>
        <v>0</v>
      </c>
      <c r="AB294" s="2">
        <f t="shared" si="223"/>
        <v>139688.67000000001</v>
      </c>
      <c r="AC294" s="2">
        <f t="shared" si="223"/>
        <v>91977.85</v>
      </c>
      <c r="AD294" s="2">
        <f t="shared" si="223"/>
        <v>29522.45</v>
      </c>
      <c r="AE294" s="2">
        <f t="shared" si="223"/>
        <v>14920.05</v>
      </c>
      <c r="AF294" s="2">
        <f t="shared" si="223"/>
        <v>18188.37</v>
      </c>
      <c r="AG294" s="2">
        <f t="shared" si="223"/>
        <v>0</v>
      </c>
      <c r="AH294" s="2">
        <f t="shared" si="223"/>
        <v>90.524298000000002</v>
      </c>
      <c r="AI294" s="2">
        <f t="shared" si="223"/>
        <v>0</v>
      </c>
      <c r="AJ294" s="2">
        <f t="shared" si="223"/>
        <v>0</v>
      </c>
      <c r="AK294" s="2">
        <f t="shared" si="223"/>
        <v>12731.86</v>
      </c>
      <c r="AL294" s="2">
        <f t="shared" si="223"/>
        <v>1818.83</v>
      </c>
      <c r="AM294" s="2">
        <f t="shared" si="223"/>
        <v>0</v>
      </c>
      <c r="AN294" s="2">
        <f t="shared" si="223"/>
        <v>0</v>
      </c>
      <c r="AO294" s="2">
        <f t="shared" si="223"/>
        <v>0</v>
      </c>
      <c r="AP294" s="2">
        <f t="shared" si="223"/>
        <v>0</v>
      </c>
      <c r="AQ294" s="2">
        <f t="shared" si="223"/>
        <v>0</v>
      </c>
      <c r="AR294" s="2">
        <f t="shared" si="223"/>
        <v>157179.47</v>
      </c>
      <c r="AS294" s="2">
        <f t="shared" si="223"/>
        <v>3622.84</v>
      </c>
      <c r="AT294" s="2">
        <f t="shared" si="223"/>
        <v>0</v>
      </c>
      <c r="AU294" s="2">
        <f t="shared" ref="AU294:BZ294" si="224">AU307</f>
        <v>153556.63</v>
      </c>
      <c r="AV294" s="2">
        <f t="shared" si="224"/>
        <v>91977.85</v>
      </c>
      <c r="AW294" s="2">
        <f t="shared" si="224"/>
        <v>91977.85</v>
      </c>
      <c r="AX294" s="2">
        <f t="shared" si="224"/>
        <v>0</v>
      </c>
      <c r="AY294" s="2">
        <f t="shared" si="224"/>
        <v>91977.85</v>
      </c>
      <c r="AZ294" s="2">
        <f t="shared" si="224"/>
        <v>0</v>
      </c>
      <c r="BA294" s="2">
        <f t="shared" si="224"/>
        <v>0</v>
      </c>
      <c r="BB294" s="2">
        <f t="shared" si="224"/>
        <v>0</v>
      </c>
      <c r="BC294" s="2">
        <f t="shared" si="224"/>
        <v>0</v>
      </c>
      <c r="BD294" s="2">
        <f t="shared" si="224"/>
        <v>0</v>
      </c>
      <c r="BE294" s="2">
        <f t="shared" si="224"/>
        <v>0</v>
      </c>
      <c r="BF294" s="2">
        <f t="shared" si="224"/>
        <v>0</v>
      </c>
      <c r="BG294" s="2">
        <f t="shared" si="224"/>
        <v>0</v>
      </c>
      <c r="BH294" s="2">
        <f t="shared" si="224"/>
        <v>0</v>
      </c>
      <c r="BI294" s="2">
        <f t="shared" si="224"/>
        <v>0</v>
      </c>
      <c r="BJ294" s="2">
        <f t="shared" si="224"/>
        <v>0</v>
      </c>
      <c r="BK294" s="2">
        <f t="shared" si="224"/>
        <v>0</v>
      </c>
      <c r="BL294" s="2">
        <f t="shared" si="224"/>
        <v>0</v>
      </c>
      <c r="BM294" s="2">
        <f t="shared" si="224"/>
        <v>0</v>
      </c>
      <c r="BN294" s="2">
        <f t="shared" si="224"/>
        <v>0</v>
      </c>
      <c r="BO294" s="2">
        <f t="shared" si="224"/>
        <v>0</v>
      </c>
      <c r="BP294" s="2">
        <f t="shared" si="224"/>
        <v>0</v>
      </c>
      <c r="BQ294" s="2">
        <f t="shared" si="224"/>
        <v>0</v>
      </c>
      <c r="BR294" s="2">
        <f t="shared" si="224"/>
        <v>0</v>
      </c>
      <c r="BS294" s="2">
        <f t="shared" si="224"/>
        <v>0</v>
      </c>
      <c r="BT294" s="2">
        <f t="shared" si="224"/>
        <v>0</v>
      </c>
      <c r="BU294" s="2">
        <f t="shared" si="224"/>
        <v>0</v>
      </c>
      <c r="BV294" s="2">
        <f t="shared" si="224"/>
        <v>0</v>
      </c>
      <c r="BW294" s="2">
        <f t="shared" si="224"/>
        <v>0</v>
      </c>
      <c r="BX294" s="2">
        <f t="shared" si="224"/>
        <v>0</v>
      </c>
      <c r="BY294" s="2">
        <f t="shared" si="224"/>
        <v>0</v>
      </c>
      <c r="BZ294" s="2">
        <f t="shared" si="224"/>
        <v>0</v>
      </c>
      <c r="CA294" s="2">
        <f t="shared" ref="CA294:DF294" si="225">CA307</f>
        <v>157179.47</v>
      </c>
      <c r="CB294" s="2">
        <f t="shared" si="225"/>
        <v>3622.84</v>
      </c>
      <c r="CC294" s="2">
        <f t="shared" si="225"/>
        <v>0</v>
      </c>
      <c r="CD294" s="2">
        <f t="shared" si="225"/>
        <v>153556.63</v>
      </c>
      <c r="CE294" s="2">
        <f t="shared" si="225"/>
        <v>91977.85</v>
      </c>
      <c r="CF294" s="2">
        <f t="shared" si="225"/>
        <v>91977.85</v>
      </c>
      <c r="CG294" s="2">
        <f t="shared" si="225"/>
        <v>0</v>
      </c>
      <c r="CH294" s="2">
        <f t="shared" si="225"/>
        <v>91977.85</v>
      </c>
      <c r="CI294" s="2">
        <f t="shared" si="225"/>
        <v>0</v>
      </c>
      <c r="CJ294" s="2">
        <f t="shared" si="225"/>
        <v>0</v>
      </c>
      <c r="CK294" s="2">
        <f t="shared" si="225"/>
        <v>0</v>
      </c>
      <c r="CL294" s="2">
        <f t="shared" si="225"/>
        <v>0</v>
      </c>
      <c r="CM294" s="2">
        <f t="shared" si="225"/>
        <v>0</v>
      </c>
      <c r="CN294" s="2">
        <f t="shared" si="225"/>
        <v>0</v>
      </c>
      <c r="CO294" s="2">
        <f t="shared" si="225"/>
        <v>0</v>
      </c>
      <c r="CP294" s="2">
        <f t="shared" si="225"/>
        <v>0</v>
      </c>
      <c r="CQ294" s="2">
        <f t="shared" si="225"/>
        <v>0</v>
      </c>
      <c r="CR294" s="2">
        <f t="shared" si="225"/>
        <v>0</v>
      </c>
      <c r="CS294" s="2">
        <f t="shared" si="225"/>
        <v>0</v>
      </c>
      <c r="CT294" s="2">
        <f t="shared" si="225"/>
        <v>0</v>
      </c>
      <c r="CU294" s="2">
        <f t="shared" si="225"/>
        <v>0</v>
      </c>
      <c r="CV294" s="2">
        <f t="shared" si="225"/>
        <v>0</v>
      </c>
      <c r="CW294" s="2">
        <f t="shared" si="225"/>
        <v>0</v>
      </c>
      <c r="CX294" s="2">
        <f t="shared" si="225"/>
        <v>0</v>
      </c>
      <c r="CY294" s="2">
        <f t="shared" si="225"/>
        <v>0</v>
      </c>
      <c r="CZ294" s="2">
        <f t="shared" si="225"/>
        <v>0</v>
      </c>
      <c r="DA294" s="2">
        <f t="shared" si="225"/>
        <v>0</v>
      </c>
      <c r="DB294" s="2">
        <f t="shared" si="225"/>
        <v>0</v>
      </c>
      <c r="DC294" s="2">
        <f t="shared" si="225"/>
        <v>0</v>
      </c>
      <c r="DD294" s="2">
        <f t="shared" si="225"/>
        <v>0</v>
      </c>
      <c r="DE294" s="2">
        <f t="shared" si="225"/>
        <v>0</v>
      </c>
      <c r="DF294" s="2">
        <f t="shared" si="225"/>
        <v>0</v>
      </c>
      <c r="DG294" s="3">
        <f t="shared" ref="DG294:EL294" si="226">DG307</f>
        <v>0</v>
      </c>
      <c r="DH294" s="3">
        <f t="shared" si="226"/>
        <v>0</v>
      </c>
      <c r="DI294" s="3">
        <f t="shared" si="226"/>
        <v>0</v>
      </c>
      <c r="DJ294" s="3">
        <f t="shared" si="226"/>
        <v>0</v>
      </c>
      <c r="DK294" s="3">
        <f t="shared" si="226"/>
        <v>0</v>
      </c>
      <c r="DL294" s="3">
        <f t="shared" si="226"/>
        <v>0</v>
      </c>
      <c r="DM294" s="3">
        <f t="shared" si="226"/>
        <v>0</v>
      </c>
      <c r="DN294" s="3">
        <f t="shared" si="226"/>
        <v>0</v>
      </c>
      <c r="DO294" s="3">
        <f t="shared" si="226"/>
        <v>0</v>
      </c>
      <c r="DP294" s="3">
        <f t="shared" si="226"/>
        <v>0</v>
      </c>
      <c r="DQ294" s="3">
        <f t="shared" si="226"/>
        <v>0</v>
      </c>
      <c r="DR294" s="3">
        <f t="shared" si="226"/>
        <v>0</v>
      </c>
      <c r="DS294" s="3">
        <f t="shared" si="226"/>
        <v>0</v>
      </c>
      <c r="DT294" s="3">
        <f t="shared" si="226"/>
        <v>0</v>
      </c>
      <c r="DU294" s="3">
        <f t="shared" si="226"/>
        <v>0</v>
      </c>
      <c r="DV294" s="3">
        <f t="shared" si="226"/>
        <v>0</v>
      </c>
      <c r="DW294" s="3">
        <f t="shared" si="226"/>
        <v>0</v>
      </c>
      <c r="DX294" s="3">
        <f t="shared" si="226"/>
        <v>0</v>
      </c>
      <c r="DY294" s="3">
        <f t="shared" si="226"/>
        <v>0</v>
      </c>
      <c r="DZ294" s="3">
        <f t="shared" si="226"/>
        <v>0</v>
      </c>
      <c r="EA294" s="3">
        <f t="shared" si="226"/>
        <v>0</v>
      </c>
      <c r="EB294" s="3">
        <f t="shared" si="226"/>
        <v>0</v>
      </c>
      <c r="EC294" s="3">
        <f t="shared" si="226"/>
        <v>0</v>
      </c>
      <c r="ED294" s="3">
        <f t="shared" si="226"/>
        <v>0</v>
      </c>
      <c r="EE294" s="3">
        <f t="shared" si="226"/>
        <v>0</v>
      </c>
      <c r="EF294" s="3">
        <f t="shared" si="226"/>
        <v>0</v>
      </c>
      <c r="EG294" s="3">
        <f t="shared" si="226"/>
        <v>0</v>
      </c>
      <c r="EH294" s="3">
        <f t="shared" si="226"/>
        <v>0</v>
      </c>
      <c r="EI294" s="3">
        <f t="shared" si="226"/>
        <v>0</v>
      </c>
      <c r="EJ294" s="3">
        <f t="shared" si="226"/>
        <v>0</v>
      </c>
      <c r="EK294" s="3">
        <f t="shared" si="226"/>
        <v>0</v>
      </c>
      <c r="EL294" s="3">
        <f t="shared" si="226"/>
        <v>0</v>
      </c>
      <c r="EM294" s="3">
        <f t="shared" ref="EM294:FR294" si="227">EM307</f>
        <v>0</v>
      </c>
      <c r="EN294" s="3">
        <f t="shared" si="227"/>
        <v>0</v>
      </c>
      <c r="EO294" s="3">
        <f t="shared" si="227"/>
        <v>0</v>
      </c>
      <c r="EP294" s="3">
        <f t="shared" si="227"/>
        <v>0</v>
      </c>
      <c r="EQ294" s="3">
        <f t="shared" si="227"/>
        <v>0</v>
      </c>
      <c r="ER294" s="3">
        <f t="shared" si="227"/>
        <v>0</v>
      </c>
      <c r="ES294" s="3">
        <f t="shared" si="227"/>
        <v>0</v>
      </c>
      <c r="ET294" s="3">
        <f t="shared" si="227"/>
        <v>0</v>
      </c>
      <c r="EU294" s="3">
        <f t="shared" si="227"/>
        <v>0</v>
      </c>
      <c r="EV294" s="3">
        <f t="shared" si="227"/>
        <v>0</v>
      </c>
      <c r="EW294" s="3">
        <f t="shared" si="227"/>
        <v>0</v>
      </c>
      <c r="EX294" s="3">
        <f t="shared" si="227"/>
        <v>0</v>
      </c>
      <c r="EY294" s="3">
        <f t="shared" si="227"/>
        <v>0</v>
      </c>
      <c r="EZ294" s="3">
        <f t="shared" si="227"/>
        <v>0</v>
      </c>
      <c r="FA294" s="3">
        <f t="shared" si="227"/>
        <v>0</v>
      </c>
      <c r="FB294" s="3">
        <f t="shared" si="227"/>
        <v>0</v>
      </c>
      <c r="FC294" s="3">
        <f t="shared" si="227"/>
        <v>0</v>
      </c>
      <c r="FD294" s="3">
        <f t="shared" si="227"/>
        <v>0</v>
      </c>
      <c r="FE294" s="3">
        <f t="shared" si="227"/>
        <v>0</v>
      </c>
      <c r="FF294" s="3">
        <f t="shared" si="227"/>
        <v>0</v>
      </c>
      <c r="FG294" s="3">
        <f t="shared" si="227"/>
        <v>0</v>
      </c>
      <c r="FH294" s="3">
        <f t="shared" si="227"/>
        <v>0</v>
      </c>
      <c r="FI294" s="3">
        <f t="shared" si="227"/>
        <v>0</v>
      </c>
      <c r="FJ294" s="3">
        <f t="shared" si="227"/>
        <v>0</v>
      </c>
      <c r="FK294" s="3">
        <f t="shared" si="227"/>
        <v>0</v>
      </c>
      <c r="FL294" s="3">
        <f t="shared" si="227"/>
        <v>0</v>
      </c>
      <c r="FM294" s="3">
        <f t="shared" si="227"/>
        <v>0</v>
      </c>
      <c r="FN294" s="3">
        <f t="shared" si="227"/>
        <v>0</v>
      </c>
      <c r="FO294" s="3">
        <f t="shared" si="227"/>
        <v>0</v>
      </c>
      <c r="FP294" s="3">
        <f t="shared" si="227"/>
        <v>0</v>
      </c>
      <c r="FQ294" s="3">
        <f t="shared" si="227"/>
        <v>0</v>
      </c>
      <c r="FR294" s="3">
        <f t="shared" si="227"/>
        <v>0</v>
      </c>
      <c r="FS294" s="3">
        <f t="shared" ref="FS294:GX294" si="228">FS307</f>
        <v>0</v>
      </c>
      <c r="FT294" s="3">
        <f t="shared" si="228"/>
        <v>0</v>
      </c>
      <c r="FU294" s="3">
        <f t="shared" si="228"/>
        <v>0</v>
      </c>
      <c r="FV294" s="3">
        <f t="shared" si="228"/>
        <v>0</v>
      </c>
      <c r="FW294" s="3">
        <f t="shared" si="228"/>
        <v>0</v>
      </c>
      <c r="FX294" s="3">
        <f t="shared" si="228"/>
        <v>0</v>
      </c>
      <c r="FY294" s="3">
        <f t="shared" si="228"/>
        <v>0</v>
      </c>
      <c r="FZ294" s="3">
        <f t="shared" si="228"/>
        <v>0</v>
      </c>
      <c r="GA294" s="3">
        <f t="shared" si="228"/>
        <v>0</v>
      </c>
      <c r="GB294" s="3">
        <f t="shared" si="228"/>
        <v>0</v>
      </c>
      <c r="GC294" s="3">
        <f t="shared" si="228"/>
        <v>0</v>
      </c>
      <c r="GD294" s="3">
        <f t="shared" si="228"/>
        <v>0</v>
      </c>
      <c r="GE294" s="3">
        <f t="shared" si="228"/>
        <v>0</v>
      </c>
      <c r="GF294" s="3">
        <f t="shared" si="228"/>
        <v>0</v>
      </c>
      <c r="GG294" s="3">
        <f t="shared" si="228"/>
        <v>0</v>
      </c>
      <c r="GH294" s="3">
        <f t="shared" si="228"/>
        <v>0</v>
      </c>
      <c r="GI294" s="3">
        <f t="shared" si="228"/>
        <v>0</v>
      </c>
      <c r="GJ294" s="3">
        <f t="shared" si="228"/>
        <v>0</v>
      </c>
      <c r="GK294" s="3">
        <f t="shared" si="228"/>
        <v>0</v>
      </c>
      <c r="GL294" s="3">
        <f t="shared" si="228"/>
        <v>0</v>
      </c>
      <c r="GM294" s="3">
        <f t="shared" si="228"/>
        <v>0</v>
      </c>
      <c r="GN294" s="3">
        <f t="shared" si="228"/>
        <v>0</v>
      </c>
      <c r="GO294" s="3">
        <f t="shared" si="228"/>
        <v>0</v>
      </c>
      <c r="GP294" s="3">
        <f t="shared" si="228"/>
        <v>0</v>
      </c>
      <c r="GQ294" s="3">
        <f t="shared" si="228"/>
        <v>0</v>
      </c>
      <c r="GR294" s="3">
        <f t="shared" si="228"/>
        <v>0</v>
      </c>
      <c r="GS294" s="3">
        <f t="shared" si="228"/>
        <v>0</v>
      </c>
      <c r="GT294" s="3">
        <f t="shared" si="228"/>
        <v>0</v>
      </c>
      <c r="GU294" s="3">
        <f t="shared" si="228"/>
        <v>0</v>
      </c>
      <c r="GV294" s="3">
        <f t="shared" si="228"/>
        <v>0</v>
      </c>
      <c r="GW294" s="3">
        <f t="shared" si="228"/>
        <v>0</v>
      </c>
      <c r="GX294" s="3">
        <f t="shared" si="228"/>
        <v>0</v>
      </c>
    </row>
    <row r="296" spans="1:245" x14ac:dyDescent="0.2">
      <c r="A296">
        <v>17</v>
      </c>
      <c r="B296">
        <v>1</v>
      </c>
      <c r="C296">
        <f>ROW(SmtRes!A128)</f>
        <v>128</v>
      </c>
      <c r="D296">
        <f>ROW(EtalonRes!A125)</f>
        <v>125</v>
      </c>
      <c r="E296" t="s">
        <v>235</v>
      </c>
      <c r="F296" t="s">
        <v>20</v>
      </c>
      <c r="G296" t="s">
        <v>21</v>
      </c>
      <c r="H296" t="s">
        <v>22</v>
      </c>
      <c r="I296">
        <f>ROUND((60*0.43*0.9)/100,9)</f>
        <v>0.23219999999999999</v>
      </c>
      <c r="J296">
        <v>0</v>
      </c>
      <c r="O296">
        <f t="shared" ref="O296:O305" si="229">ROUND(CP296,2)</f>
        <v>2105.2199999999998</v>
      </c>
      <c r="P296">
        <f t="shared" ref="P296:P305" si="230">ROUND(CQ296*I296,2)</f>
        <v>0</v>
      </c>
      <c r="Q296">
        <f t="shared" ref="Q296:Q305" si="231">ROUND(CR296*I296,2)</f>
        <v>2038.49</v>
      </c>
      <c r="R296">
        <f t="shared" ref="R296:R305" si="232">ROUND(CS296*I296,2)</f>
        <v>797.35</v>
      </c>
      <c r="S296">
        <f t="shared" ref="S296:S305" si="233">ROUND(CT296*I296,2)</f>
        <v>66.73</v>
      </c>
      <c r="T296">
        <f t="shared" ref="T296:T305" si="234">ROUND(CU296*I296,2)</f>
        <v>0</v>
      </c>
      <c r="U296">
        <f t="shared" ref="U296:U305" si="235">CV296*I296</f>
        <v>0.36919800000000003</v>
      </c>
      <c r="V296">
        <f t="shared" ref="V296:V305" si="236">CW296*I296</f>
        <v>0</v>
      </c>
      <c r="W296">
        <f t="shared" ref="W296:W305" si="237">ROUND(CX296*I296,2)</f>
        <v>0</v>
      </c>
      <c r="X296">
        <f t="shared" ref="X296:X305" si="238">ROUND(CY296,2)</f>
        <v>46.71</v>
      </c>
      <c r="Y296">
        <f t="shared" ref="Y296:Y305" si="239">ROUND(CZ296,2)</f>
        <v>6.67</v>
      </c>
      <c r="AA296">
        <v>42184655</v>
      </c>
      <c r="AB296">
        <f t="shared" ref="AB296:AB305" si="240">ROUND((AC296+AD296+AF296),6)</f>
        <v>9066.39</v>
      </c>
      <c r="AC296">
        <f>ROUND((ES296),6)</f>
        <v>0</v>
      </c>
      <c r="AD296">
        <f>ROUND((((ET296)-(EU296))+AE296),6)</f>
        <v>8779.01</v>
      </c>
      <c r="AE296">
        <f t="shared" ref="AE296:AF299" si="241">ROUND((EU296),6)</f>
        <v>3433.88</v>
      </c>
      <c r="AF296">
        <f t="shared" si="241"/>
        <v>287.38</v>
      </c>
      <c r="AG296">
        <f t="shared" ref="AG296:AG305" si="242">ROUND((AP296),6)</f>
        <v>0</v>
      </c>
      <c r="AH296">
        <f t="shared" ref="AH296:AI299" si="243">(EW296)</f>
        <v>1.59</v>
      </c>
      <c r="AI296">
        <f t="shared" si="243"/>
        <v>0</v>
      </c>
      <c r="AJ296">
        <f t="shared" ref="AJ296:AJ305" si="244">(AS296)</f>
        <v>0</v>
      </c>
      <c r="AK296">
        <v>9066.39</v>
      </c>
      <c r="AL296">
        <v>0</v>
      </c>
      <c r="AM296">
        <v>8779.01</v>
      </c>
      <c r="AN296">
        <v>3433.88</v>
      </c>
      <c r="AO296">
        <v>287.38</v>
      </c>
      <c r="AP296">
        <v>0</v>
      </c>
      <c r="AQ296">
        <v>1.59</v>
      </c>
      <c r="AR296">
        <v>0</v>
      </c>
      <c r="AS296">
        <v>0</v>
      </c>
      <c r="AT296">
        <v>70</v>
      </c>
      <c r="AU296">
        <v>10</v>
      </c>
      <c r="AV296">
        <v>1</v>
      </c>
      <c r="AW296">
        <v>1</v>
      </c>
      <c r="AZ296">
        <v>1</v>
      </c>
      <c r="BA296">
        <v>1</v>
      </c>
      <c r="BB296">
        <v>1</v>
      </c>
      <c r="BC296">
        <v>1</v>
      </c>
      <c r="BD296" t="s">
        <v>3</v>
      </c>
      <c r="BE296" t="s">
        <v>3</v>
      </c>
      <c r="BF296" t="s">
        <v>3</v>
      </c>
      <c r="BG296" t="s">
        <v>3</v>
      </c>
      <c r="BH296">
        <v>0</v>
      </c>
      <c r="BI296">
        <v>4</v>
      </c>
      <c r="BJ296" t="s">
        <v>23</v>
      </c>
      <c r="BM296">
        <v>0</v>
      </c>
      <c r="BN296">
        <v>0</v>
      </c>
      <c r="BO296" t="s">
        <v>3</v>
      </c>
      <c r="BP296">
        <v>0</v>
      </c>
      <c r="BQ296">
        <v>1</v>
      </c>
      <c r="BR296">
        <v>0</v>
      </c>
      <c r="BS296">
        <v>1</v>
      </c>
      <c r="BT296">
        <v>1</v>
      </c>
      <c r="BU296">
        <v>1</v>
      </c>
      <c r="BV296">
        <v>1</v>
      </c>
      <c r="BW296">
        <v>1</v>
      </c>
      <c r="BX296">
        <v>1</v>
      </c>
      <c r="BY296" t="s">
        <v>3</v>
      </c>
      <c r="BZ296">
        <v>70</v>
      </c>
      <c r="CA296">
        <v>10</v>
      </c>
      <c r="CE296">
        <v>0</v>
      </c>
      <c r="CF296">
        <v>0</v>
      </c>
      <c r="CG296">
        <v>0</v>
      </c>
      <c r="CM296">
        <v>0</v>
      </c>
      <c r="CN296" t="s">
        <v>3</v>
      </c>
      <c r="CO296">
        <v>0</v>
      </c>
      <c r="CP296">
        <f t="shared" ref="CP296:CP305" si="245">(P296+Q296+S296)</f>
        <v>2105.2199999999998</v>
      </c>
      <c r="CQ296">
        <f t="shared" ref="CQ296:CQ305" si="246">(AC296*BC296*AW296)</f>
        <v>0</v>
      </c>
      <c r="CR296">
        <f>((((ET296)*BB296-(EU296)*BS296)+AE296*BS296)*AV296)</f>
        <v>8779.01</v>
      </c>
      <c r="CS296">
        <f t="shared" ref="CS296:CS305" si="247">(AE296*BS296*AV296)</f>
        <v>3433.88</v>
      </c>
      <c r="CT296">
        <f t="shared" ref="CT296:CT305" si="248">(AF296*BA296*AV296)</f>
        <v>287.38</v>
      </c>
      <c r="CU296">
        <f t="shared" ref="CU296:CU305" si="249">AG296</f>
        <v>0</v>
      </c>
      <c r="CV296">
        <f t="shared" ref="CV296:CV305" si="250">(AH296*AV296)</f>
        <v>1.59</v>
      </c>
      <c r="CW296">
        <f t="shared" ref="CW296:CW305" si="251">AI296</f>
        <v>0</v>
      </c>
      <c r="CX296">
        <f t="shared" ref="CX296:CX305" si="252">AJ296</f>
        <v>0</v>
      </c>
      <c r="CY296">
        <f t="shared" ref="CY296:CY305" si="253">((S296*BZ296)/100)</f>
        <v>46.711000000000006</v>
      </c>
      <c r="CZ296">
        <f t="shared" ref="CZ296:CZ305" si="254">((S296*CA296)/100)</f>
        <v>6.6730000000000009</v>
      </c>
      <c r="DC296" t="s">
        <v>3</v>
      </c>
      <c r="DD296" t="s">
        <v>3</v>
      </c>
      <c r="DE296" t="s">
        <v>3</v>
      </c>
      <c r="DF296" t="s">
        <v>3</v>
      </c>
      <c r="DG296" t="s">
        <v>3</v>
      </c>
      <c r="DH296" t="s">
        <v>3</v>
      </c>
      <c r="DI296" t="s">
        <v>3</v>
      </c>
      <c r="DJ296" t="s">
        <v>3</v>
      </c>
      <c r="DK296" t="s">
        <v>3</v>
      </c>
      <c r="DL296" t="s">
        <v>3</v>
      </c>
      <c r="DM296" t="s">
        <v>3</v>
      </c>
      <c r="DN296">
        <v>0</v>
      </c>
      <c r="DO296">
        <v>0</v>
      </c>
      <c r="DP296">
        <v>1</v>
      </c>
      <c r="DQ296">
        <v>1</v>
      </c>
      <c r="DU296">
        <v>1007</v>
      </c>
      <c r="DV296" t="s">
        <v>22</v>
      </c>
      <c r="DW296" t="s">
        <v>22</v>
      </c>
      <c r="DX296">
        <v>100</v>
      </c>
      <c r="EE296">
        <v>40658659</v>
      </c>
      <c r="EF296">
        <v>1</v>
      </c>
      <c r="EG296" t="s">
        <v>24</v>
      </c>
      <c r="EH296">
        <v>0</v>
      </c>
      <c r="EI296" t="s">
        <v>3</v>
      </c>
      <c r="EJ296">
        <v>4</v>
      </c>
      <c r="EK296">
        <v>0</v>
      </c>
      <c r="EL296" t="s">
        <v>25</v>
      </c>
      <c r="EM296" t="s">
        <v>26</v>
      </c>
      <c r="EO296" t="s">
        <v>3</v>
      </c>
      <c r="EQ296">
        <v>0</v>
      </c>
      <c r="ER296">
        <v>9066.39</v>
      </c>
      <c r="ES296">
        <v>0</v>
      </c>
      <c r="ET296">
        <v>8779.01</v>
      </c>
      <c r="EU296">
        <v>3433.88</v>
      </c>
      <c r="EV296">
        <v>287.38</v>
      </c>
      <c r="EW296">
        <v>1.59</v>
      </c>
      <c r="EX296">
        <v>0</v>
      </c>
      <c r="EY296">
        <v>0</v>
      </c>
      <c r="FQ296">
        <v>0</v>
      </c>
      <c r="FR296">
        <f t="shared" ref="FR296:FR305" si="255">ROUND(IF(AND(BH296=3,BI296=3),P296,0),2)</f>
        <v>0</v>
      </c>
      <c r="FS296">
        <v>0</v>
      </c>
      <c r="FX296">
        <v>70</v>
      </c>
      <c r="FY296">
        <v>10</v>
      </c>
      <c r="GA296" t="s">
        <v>3</v>
      </c>
      <c r="GD296">
        <v>0</v>
      </c>
      <c r="GF296">
        <v>786330748</v>
      </c>
      <c r="GG296">
        <v>2</v>
      </c>
      <c r="GH296">
        <v>1</v>
      </c>
      <c r="GI296">
        <v>-2</v>
      </c>
      <c r="GJ296">
        <v>0</v>
      </c>
      <c r="GK296">
        <f>ROUND(R296*(R12)/100,2)</f>
        <v>861.14</v>
      </c>
      <c r="GL296">
        <f t="shared" ref="GL296:GL305" si="256">ROUND(IF(AND(BH296=3,BI296=3,FS296&lt;&gt;0),P296,0),2)</f>
        <v>0</v>
      </c>
      <c r="GM296">
        <f>ROUND(O296+X296+Y296+GK296,2)+GX296</f>
        <v>3019.74</v>
      </c>
      <c r="GN296">
        <f>IF(OR(BI296=0,BI296=1),ROUND(O296+X296+Y296+GK296,2),0)</f>
        <v>0</v>
      </c>
      <c r="GO296">
        <f>IF(BI296=2,ROUND(O296+X296+Y296+GK296,2),0)</f>
        <v>0</v>
      </c>
      <c r="GP296">
        <f>IF(BI296=4,ROUND(O296+X296+Y296+GK296,2)+GX296,0)</f>
        <v>3019.74</v>
      </c>
      <c r="GR296">
        <v>0</v>
      </c>
      <c r="GS296">
        <v>3</v>
      </c>
      <c r="GT296">
        <v>0</v>
      </c>
      <c r="GU296" t="s">
        <v>3</v>
      </c>
      <c r="GV296">
        <f t="shared" ref="GV296:GV305" si="257">ROUND((GT296),6)</f>
        <v>0</v>
      </c>
      <c r="GW296">
        <v>1</v>
      </c>
      <c r="GX296">
        <f t="shared" ref="GX296:GX305" si="258">ROUND(HC296*I296,2)</f>
        <v>0</v>
      </c>
      <c r="HA296">
        <v>0</v>
      </c>
      <c r="HB296">
        <v>0</v>
      </c>
      <c r="HC296">
        <f t="shared" ref="HC296:HC305" si="259">GV296*GW296</f>
        <v>0</v>
      </c>
      <c r="IK296">
        <v>0</v>
      </c>
    </row>
    <row r="297" spans="1:245" x14ac:dyDescent="0.2">
      <c r="A297">
        <v>17</v>
      </c>
      <c r="B297">
        <v>1</v>
      </c>
      <c r="C297">
        <f>ROW(SmtRes!A129)</f>
        <v>129</v>
      </c>
      <c r="D297">
        <f>ROW(EtalonRes!A126)</f>
        <v>126</v>
      </c>
      <c r="E297" t="s">
        <v>236</v>
      </c>
      <c r="F297" t="s">
        <v>127</v>
      </c>
      <c r="G297" t="s">
        <v>128</v>
      </c>
      <c r="H297" t="s">
        <v>22</v>
      </c>
      <c r="I297">
        <f>ROUND((60*0.43*0.1)/100,9)</f>
        <v>2.58E-2</v>
      </c>
      <c r="J297">
        <v>0</v>
      </c>
      <c r="O297">
        <f t="shared" si="229"/>
        <v>1082.3399999999999</v>
      </c>
      <c r="P297">
        <f t="shared" si="230"/>
        <v>0</v>
      </c>
      <c r="Q297">
        <f t="shared" si="231"/>
        <v>0</v>
      </c>
      <c r="R297">
        <f t="shared" si="232"/>
        <v>0</v>
      </c>
      <c r="S297">
        <f t="shared" si="233"/>
        <v>1082.3399999999999</v>
      </c>
      <c r="T297">
        <f t="shared" si="234"/>
        <v>0</v>
      </c>
      <c r="U297">
        <f t="shared" si="235"/>
        <v>5.7172799999999997</v>
      </c>
      <c r="V297">
        <f t="shared" si="236"/>
        <v>0</v>
      </c>
      <c r="W297">
        <f t="shared" si="237"/>
        <v>0</v>
      </c>
      <c r="X297">
        <f t="shared" si="238"/>
        <v>757.64</v>
      </c>
      <c r="Y297">
        <f t="shared" si="239"/>
        <v>108.23</v>
      </c>
      <c r="AA297">
        <v>42184655</v>
      </c>
      <c r="AB297">
        <f t="shared" si="240"/>
        <v>41951.1</v>
      </c>
      <c r="AC297">
        <f>ROUND((ES297),6)</f>
        <v>0</v>
      </c>
      <c r="AD297">
        <f>ROUND((((ET297)-(EU297))+AE297),6)</f>
        <v>0</v>
      </c>
      <c r="AE297">
        <f t="shared" si="241"/>
        <v>0</v>
      </c>
      <c r="AF297">
        <f t="shared" si="241"/>
        <v>41951.1</v>
      </c>
      <c r="AG297">
        <f t="shared" si="242"/>
        <v>0</v>
      </c>
      <c r="AH297">
        <f t="shared" si="243"/>
        <v>221.6</v>
      </c>
      <c r="AI297">
        <f t="shared" si="243"/>
        <v>0</v>
      </c>
      <c r="AJ297">
        <f t="shared" si="244"/>
        <v>0</v>
      </c>
      <c r="AK297">
        <v>41951.1</v>
      </c>
      <c r="AL297">
        <v>0</v>
      </c>
      <c r="AM297">
        <v>0</v>
      </c>
      <c r="AN297">
        <v>0</v>
      </c>
      <c r="AO297">
        <v>41951.1</v>
      </c>
      <c r="AP297">
        <v>0</v>
      </c>
      <c r="AQ297">
        <v>221.6</v>
      </c>
      <c r="AR297">
        <v>0</v>
      </c>
      <c r="AS297">
        <v>0</v>
      </c>
      <c r="AT297">
        <v>70</v>
      </c>
      <c r="AU297">
        <v>10</v>
      </c>
      <c r="AV297">
        <v>1</v>
      </c>
      <c r="AW297">
        <v>1</v>
      </c>
      <c r="AZ297">
        <v>1</v>
      </c>
      <c r="BA297">
        <v>1</v>
      </c>
      <c r="BB297">
        <v>1</v>
      </c>
      <c r="BC297">
        <v>1</v>
      </c>
      <c r="BD297" t="s">
        <v>3</v>
      </c>
      <c r="BE297" t="s">
        <v>3</v>
      </c>
      <c r="BF297" t="s">
        <v>3</v>
      </c>
      <c r="BG297" t="s">
        <v>3</v>
      </c>
      <c r="BH297">
        <v>0</v>
      </c>
      <c r="BI297">
        <v>4</v>
      </c>
      <c r="BJ297" t="s">
        <v>129</v>
      </c>
      <c r="BM297">
        <v>0</v>
      </c>
      <c r="BN297">
        <v>0</v>
      </c>
      <c r="BO297" t="s">
        <v>3</v>
      </c>
      <c r="BP297">
        <v>0</v>
      </c>
      <c r="BQ297">
        <v>1</v>
      </c>
      <c r="BR297">
        <v>0</v>
      </c>
      <c r="BS297">
        <v>1</v>
      </c>
      <c r="BT297">
        <v>1</v>
      </c>
      <c r="BU297">
        <v>1</v>
      </c>
      <c r="BV297">
        <v>1</v>
      </c>
      <c r="BW297">
        <v>1</v>
      </c>
      <c r="BX297">
        <v>1</v>
      </c>
      <c r="BY297" t="s">
        <v>3</v>
      </c>
      <c r="BZ297">
        <v>70</v>
      </c>
      <c r="CA297">
        <v>10</v>
      </c>
      <c r="CE297">
        <v>0</v>
      </c>
      <c r="CF297">
        <v>0</v>
      </c>
      <c r="CG297">
        <v>0</v>
      </c>
      <c r="CM297">
        <v>0</v>
      </c>
      <c r="CN297" t="s">
        <v>3</v>
      </c>
      <c r="CO297">
        <v>0</v>
      </c>
      <c r="CP297">
        <f t="shared" si="245"/>
        <v>1082.3399999999999</v>
      </c>
      <c r="CQ297">
        <f t="shared" si="246"/>
        <v>0</v>
      </c>
      <c r="CR297">
        <f>((((ET297)*BB297-(EU297)*BS297)+AE297*BS297)*AV297)</f>
        <v>0</v>
      </c>
      <c r="CS297">
        <f t="shared" si="247"/>
        <v>0</v>
      </c>
      <c r="CT297">
        <f t="shared" si="248"/>
        <v>41951.1</v>
      </c>
      <c r="CU297">
        <f t="shared" si="249"/>
        <v>0</v>
      </c>
      <c r="CV297">
        <f t="shared" si="250"/>
        <v>221.6</v>
      </c>
      <c r="CW297">
        <f t="shared" si="251"/>
        <v>0</v>
      </c>
      <c r="CX297">
        <f t="shared" si="252"/>
        <v>0</v>
      </c>
      <c r="CY297">
        <f t="shared" si="253"/>
        <v>757.63799999999992</v>
      </c>
      <c r="CZ297">
        <f t="shared" si="254"/>
        <v>108.23399999999999</v>
      </c>
      <c r="DC297" t="s">
        <v>3</v>
      </c>
      <c r="DD297" t="s">
        <v>3</v>
      </c>
      <c r="DE297" t="s">
        <v>3</v>
      </c>
      <c r="DF297" t="s">
        <v>3</v>
      </c>
      <c r="DG297" t="s">
        <v>3</v>
      </c>
      <c r="DH297" t="s">
        <v>3</v>
      </c>
      <c r="DI297" t="s">
        <v>3</v>
      </c>
      <c r="DJ297" t="s">
        <v>3</v>
      </c>
      <c r="DK297" t="s">
        <v>3</v>
      </c>
      <c r="DL297" t="s">
        <v>3</v>
      </c>
      <c r="DM297" t="s">
        <v>3</v>
      </c>
      <c r="DN297">
        <v>0</v>
      </c>
      <c r="DO297">
        <v>0</v>
      </c>
      <c r="DP297">
        <v>1</v>
      </c>
      <c r="DQ297">
        <v>1</v>
      </c>
      <c r="DU297">
        <v>1007</v>
      </c>
      <c r="DV297" t="s">
        <v>22</v>
      </c>
      <c r="DW297" t="s">
        <v>22</v>
      </c>
      <c r="DX297">
        <v>100</v>
      </c>
      <c r="EE297">
        <v>40658659</v>
      </c>
      <c r="EF297">
        <v>1</v>
      </c>
      <c r="EG297" t="s">
        <v>24</v>
      </c>
      <c r="EH297">
        <v>0</v>
      </c>
      <c r="EI297" t="s">
        <v>3</v>
      </c>
      <c r="EJ297">
        <v>4</v>
      </c>
      <c r="EK297">
        <v>0</v>
      </c>
      <c r="EL297" t="s">
        <v>25</v>
      </c>
      <c r="EM297" t="s">
        <v>26</v>
      </c>
      <c r="EO297" t="s">
        <v>3</v>
      </c>
      <c r="EQ297">
        <v>0</v>
      </c>
      <c r="ER297">
        <v>41951.1</v>
      </c>
      <c r="ES297">
        <v>0</v>
      </c>
      <c r="ET297">
        <v>0</v>
      </c>
      <c r="EU297">
        <v>0</v>
      </c>
      <c r="EV297">
        <v>41951.1</v>
      </c>
      <c r="EW297">
        <v>221.6</v>
      </c>
      <c r="EX297">
        <v>0</v>
      </c>
      <c r="EY297">
        <v>0</v>
      </c>
      <c r="FQ297">
        <v>0</v>
      </c>
      <c r="FR297">
        <f t="shared" si="255"/>
        <v>0</v>
      </c>
      <c r="FS297">
        <v>0</v>
      </c>
      <c r="FX297">
        <v>70</v>
      </c>
      <c r="FY297">
        <v>10</v>
      </c>
      <c r="GA297" t="s">
        <v>3</v>
      </c>
      <c r="GD297">
        <v>0</v>
      </c>
      <c r="GF297">
        <v>1840361055</v>
      </c>
      <c r="GG297">
        <v>2</v>
      </c>
      <c r="GH297">
        <v>1</v>
      </c>
      <c r="GI297">
        <v>-2</v>
      </c>
      <c r="GJ297">
        <v>0</v>
      </c>
      <c r="GK297">
        <f>ROUND(R297*(R12)/100,2)</f>
        <v>0</v>
      </c>
      <c r="GL297">
        <f t="shared" si="256"/>
        <v>0</v>
      </c>
      <c r="GM297">
        <f>ROUND(O297+X297+Y297+GK297,2)+GX297</f>
        <v>1948.21</v>
      </c>
      <c r="GN297">
        <f>IF(OR(BI297=0,BI297=1),ROUND(O297+X297+Y297+GK297,2),0)</f>
        <v>0</v>
      </c>
      <c r="GO297">
        <f>IF(BI297=2,ROUND(O297+X297+Y297+GK297,2),0)</f>
        <v>0</v>
      </c>
      <c r="GP297">
        <f>IF(BI297=4,ROUND(O297+X297+Y297+GK297,2)+GX297,0)</f>
        <v>1948.21</v>
      </c>
      <c r="GR297">
        <v>0</v>
      </c>
      <c r="GS297">
        <v>3</v>
      </c>
      <c r="GT297">
        <v>0</v>
      </c>
      <c r="GU297" t="s">
        <v>3</v>
      </c>
      <c r="GV297">
        <f t="shared" si="257"/>
        <v>0</v>
      </c>
      <c r="GW297">
        <v>1</v>
      </c>
      <c r="GX297">
        <f t="shared" si="258"/>
        <v>0</v>
      </c>
      <c r="HA297">
        <v>0</v>
      </c>
      <c r="HB297">
        <v>0</v>
      </c>
      <c r="HC297">
        <f t="shared" si="259"/>
        <v>0</v>
      </c>
      <c r="IK297">
        <v>0</v>
      </c>
    </row>
    <row r="298" spans="1:245" x14ac:dyDescent="0.2">
      <c r="A298">
        <v>17</v>
      </c>
      <c r="B298">
        <v>1</v>
      </c>
      <c r="C298">
        <f>ROW(SmtRes!A130)</f>
        <v>130</v>
      </c>
      <c r="D298">
        <f>ROW(EtalonRes!A127)</f>
        <v>127</v>
      </c>
      <c r="E298" t="s">
        <v>237</v>
      </c>
      <c r="F298" t="s">
        <v>32</v>
      </c>
      <c r="G298" t="s">
        <v>33</v>
      </c>
      <c r="H298" t="s">
        <v>22</v>
      </c>
      <c r="I298">
        <f>ROUND((60*0.43*0.1*0.1)/100,9)</f>
        <v>2.5799999999999998E-3</v>
      </c>
      <c r="J298">
        <v>0</v>
      </c>
      <c r="O298">
        <f t="shared" si="229"/>
        <v>28.72</v>
      </c>
      <c r="P298">
        <f t="shared" si="230"/>
        <v>0</v>
      </c>
      <c r="Q298">
        <f t="shared" si="231"/>
        <v>0</v>
      </c>
      <c r="R298">
        <f t="shared" si="232"/>
        <v>0</v>
      </c>
      <c r="S298">
        <f t="shared" si="233"/>
        <v>28.72</v>
      </c>
      <c r="T298">
        <f t="shared" si="234"/>
        <v>0</v>
      </c>
      <c r="U298">
        <f t="shared" si="235"/>
        <v>0.21414</v>
      </c>
      <c r="V298">
        <f t="shared" si="236"/>
        <v>0</v>
      </c>
      <c r="W298">
        <f t="shared" si="237"/>
        <v>0</v>
      </c>
      <c r="X298">
        <f t="shared" si="238"/>
        <v>20.100000000000001</v>
      </c>
      <c r="Y298">
        <f t="shared" si="239"/>
        <v>2.87</v>
      </c>
      <c r="AA298">
        <v>42184655</v>
      </c>
      <c r="AB298">
        <f t="shared" si="240"/>
        <v>11130.3</v>
      </c>
      <c r="AC298">
        <f>ROUND((ES298),6)</f>
        <v>0</v>
      </c>
      <c r="AD298">
        <f>ROUND((((ET298)-(EU298))+AE298),6)</f>
        <v>0</v>
      </c>
      <c r="AE298">
        <f t="shared" si="241"/>
        <v>0</v>
      </c>
      <c r="AF298">
        <f t="shared" si="241"/>
        <v>11130.3</v>
      </c>
      <c r="AG298">
        <f t="shared" si="242"/>
        <v>0</v>
      </c>
      <c r="AH298">
        <f t="shared" si="243"/>
        <v>83</v>
      </c>
      <c r="AI298">
        <f t="shared" si="243"/>
        <v>0</v>
      </c>
      <c r="AJ298">
        <f t="shared" si="244"/>
        <v>0</v>
      </c>
      <c r="AK298">
        <v>11130.3</v>
      </c>
      <c r="AL298">
        <v>0</v>
      </c>
      <c r="AM298">
        <v>0</v>
      </c>
      <c r="AN298">
        <v>0</v>
      </c>
      <c r="AO298">
        <v>11130.3</v>
      </c>
      <c r="AP298">
        <v>0</v>
      </c>
      <c r="AQ298">
        <v>83</v>
      </c>
      <c r="AR298">
        <v>0</v>
      </c>
      <c r="AS298">
        <v>0</v>
      </c>
      <c r="AT298">
        <v>70</v>
      </c>
      <c r="AU298">
        <v>10</v>
      </c>
      <c r="AV298">
        <v>1</v>
      </c>
      <c r="AW298">
        <v>1</v>
      </c>
      <c r="AZ298">
        <v>1</v>
      </c>
      <c r="BA298">
        <v>1</v>
      </c>
      <c r="BB298">
        <v>1</v>
      </c>
      <c r="BC298">
        <v>1</v>
      </c>
      <c r="BD298" t="s">
        <v>3</v>
      </c>
      <c r="BE298" t="s">
        <v>3</v>
      </c>
      <c r="BF298" t="s">
        <v>3</v>
      </c>
      <c r="BG298" t="s">
        <v>3</v>
      </c>
      <c r="BH298">
        <v>0</v>
      </c>
      <c r="BI298">
        <v>4</v>
      </c>
      <c r="BJ298" t="s">
        <v>34</v>
      </c>
      <c r="BM298">
        <v>0</v>
      </c>
      <c r="BN298">
        <v>0</v>
      </c>
      <c r="BO298" t="s">
        <v>3</v>
      </c>
      <c r="BP298">
        <v>0</v>
      </c>
      <c r="BQ298">
        <v>1</v>
      </c>
      <c r="BR298">
        <v>0</v>
      </c>
      <c r="BS298">
        <v>1</v>
      </c>
      <c r="BT298">
        <v>1</v>
      </c>
      <c r="BU298">
        <v>1</v>
      </c>
      <c r="BV298">
        <v>1</v>
      </c>
      <c r="BW298">
        <v>1</v>
      </c>
      <c r="BX298">
        <v>1</v>
      </c>
      <c r="BY298" t="s">
        <v>3</v>
      </c>
      <c r="BZ298">
        <v>70</v>
      </c>
      <c r="CA298">
        <v>10</v>
      </c>
      <c r="CE298">
        <v>0</v>
      </c>
      <c r="CF298">
        <v>0</v>
      </c>
      <c r="CG298">
        <v>0</v>
      </c>
      <c r="CM298">
        <v>0</v>
      </c>
      <c r="CN298" t="s">
        <v>3</v>
      </c>
      <c r="CO298">
        <v>0</v>
      </c>
      <c r="CP298">
        <f t="shared" si="245"/>
        <v>28.72</v>
      </c>
      <c r="CQ298">
        <f t="shared" si="246"/>
        <v>0</v>
      </c>
      <c r="CR298">
        <f>((((ET298)*BB298-(EU298)*BS298)+AE298*BS298)*AV298)</f>
        <v>0</v>
      </c>
      <c r="CS298">
        <f t="shared" si="247"/>
        <v>0</v>
      </c>
      <c r="CT298">
        <f t="shared" si="248"/>
        <v>11130.3</v>
      </c>
      <c r="CU298">
        <f t="shared" si="249"/>
        <v>0</v>
      </c>
      <c r="CV298">
        <f t="shared" si="250"/>
        <v>83</v>
      </c>
      <c r="CW298">
        <f t="shared" si="251"/>
        <v>0</v>
      </c>
      <c r="CX298">
        <f t="shared" si="252"/>
        <v>0</v>
      </c>
      <c r="CY298">
        <f t="shared" si="253"/>
        <v>20.103999999999999</v>
      </c>
      <c r="CZ298">
        <f t="shared" si="254"/>
        <v>2.8719999999999999</v>
      </c>
      <c r="DC298" t="s">
        <v>3</v>
      </c>
      <c r="DD298" t="s">
        <v>3</v>
      </c>
      <c r="DE298" t="s">
        <v>3</v>
      </c>
      <c r="DF298" t="s">
        <v>3</v>
      </c>
      <c r="DG298" t="s">
        <v>3</v>
      </c>
      <c r="DH298" t="s">
        <v>3</v>
      </c>
      <c r="DI298" t="s">
        <v>3</v>
      </c>
      <c r="DJ298" t="s">
        <v>3</v>
      </c>
      <c r="DK298" t="s">
        <v>3</v>
      </c>
      <c r="DL298" t="s">
        <v>3</v>
      </c>
      <c r="DM298" t="s">
        <v>3</v>
      </c>
      <c r="DN298">
        <v>0</v>
      </c>
      <c r="DO298">
        <v>0</v>
      </c>
      <c r="DP298">
        <v>1</v>
      </c>
      <c r="DQ298">
        <v>1</v>
      </c>
      <c r="DU298">
        <v>1007</v>
      </c>
      <c r="DV298" t="s">
        <v>22</v>
      </c>
      <c r="DW298" t="s">
        <v>22</v>
      </c>
      <c r="DX298">
        <v>100</v>
      </c>
      <c r="EE298">
        <v>40658659</v>
      </c>
      <c r="EF298">
        <v>1</v>
      </c>
      <c r="EG298" t="s">
        <v>24</v>
      </c>
      <c r="EH298">
        <v>0</v>
      </c>
      <c r="EI298" t="s">
        <v>3</v>
      </c>
      <c r="EJ298">
        <v>4</v>
      </c>
      <c r="EK298">
        <v>0</v>
      </c>
      <c r="EL298" t="s">
        <v>25</v>
      </c>
      <c r="EM298" t="s">
        <v>26</v>
      </c>
      <c r="EO298" t="s">
        <v>3</v>
      </c>
      <c r="EQ298">
        <v>0</v>
      </c>
      <c r="ER298">
        <v>11130.3</v>
      </c>
      <c r="ES298">
        <v>0</v>
      </c>
      <c r="ET298">
        <v>0</v>
      </c>
      <c r="EU298">
        <v>0</v>
      </c>
      <c r="EV298">
        <v>11130.3</v>
      </c>
      <c r="EW298">
        <v>83</v>
      </c>
      <c r="EX298">
        <v>0</v>
      </c>
      <c r="EY298">
        <v>0</v>
      </c>
      <c r="FQ298">
        <v>0</v>
      </c>
      <c r="FR298">
        <f t="shared" si="255"/>
        <v>0</v>
      </c>
      <c r="FS298">
        <v>0</v>
      </c>
      <c r="FX298">
        <v>70</v>
      </c>
      <c r="FY298">
        <v>10</v>
      </c>
      <c r="GA298" t="s">
        <v>3</v>
      </c>
      <c r="GD298">
        <v>0</v>
      </c>
      <c r="GF298">
        <v>-1649887295</v>
      </c>
      <c r="GG298">
        <v>2</v>
      </c>
      <c r="GH298">
        <v>1</v>
      </c>
      <c r="GI298">
        <v>-2</v>
      </c>
      <c r="GJ298">
        <v>0</v>
      </c>
      <c r="GK298">
        <f>ROUND(R298*(R12)/100,2)</f>
        <v>0</v>
      </c>
      <c r="GL298">
        <f t="shared" si="256"/>
        <v>0</v>
      </c>
      <c r="GM298">
        <f>ROUND(O298+X298+Y298+GK298,2)+GX298</f>
        <v>51.69</v>
      </c>
      <c r="GN298">
        <f>IF(OR(BI298=0,BI298=1),ROUND(O298+X298+Y298+GK298,2),0)</f>
        <v>0</v>
      </c>
      <c r="GO298">
        <f>IF(BI298=2,ROUND(O298+X298+Y298+GK298,2),0)</f>
        <v>0</v>
      </c>
      <c r="GP298">
        <f>IF(BI298=4,ROUND(O298+X298+Y298+GK298,2)+GX298,0)</f>
        <v>51.69</v>
      </c>
      <c r="GR298">
        <v>0</v>
      </c>
      <c r="GS298">
        <v>3</v>
      </c>
      <c r="GT298">
        <v>0</v>
      </c>
      <c r="GU298" t="s">
        <v>3</v>
      </c>
      <c r="GV298">
        <f t="shared" si="257"/>
        <v>0</v>
      </c>
      <c r="GW298">
        <v>1</v>
      </c>
      <c r="GX298">
        <f t="shared" si="258"/>
        <v>0</v>
      </c>
      <c r="HA298">
        <v>0</v>
      </c>
      <c r="HB298">
        <v>0</v>
      </c>
      <c r="HC298">
        <f t="shared" si="259"/>
        <v>0</v>
      </c>
      <c r="IK298">
        <v>0</v>
      </c>
    </row>
    <row r="299" spans="1:245" x14ac:dyDescent="0.2">
      <c r="A299">
        <v>17</v>
      </c>
      <c r="B299">
        <v>1</v>
      </c>
      <c r="C299">
        <f>ROW(SmtRes!A131)</f>
        <v>131</v>
      </c>
      <c r="D299">
        <f>ROW(EtalonRes!A128)</f>
        <v>128</v>
      </c>
      <c r="E299" t="s">
        <v>238</v>
      </c>
      <c r="F299" t="s">
        <v>36</v>
      </c>
      <c r="G299" t="s">
        <v>37</v>
      </c>
      <c r="H299" t="s">
        <v>38</v>
      </c>
      <c r="I299">
        <f>ROUND(60*0.43,9)</f>
        <v>25.8</v>
      </c>
      <c r="J299">
        <v>0</v>
      </c>
      <c r="O299">
        <f t="shared" si="229"/>
        <v>1219.57</v>
      </c>
      <c r="P299">
        <f t="shared" si="230"/>
        <v>0</v>
      </c>
      <c r="Q299">
        <f t="shared" si="231"/>
        <v>1219.57</v>
      </c>
      <c r="R299">
        <f t="shared" si="232"/>
        <v>662.03</v>
      </c>
      <c r="S299">
        <f t="shared" si="233"/>
        <v>0</v>
      </c>
      <c r="T299">
        <f t="shared" si="234"/>
        <v>0</v>
      </c>
      <c r="U299">
        <f t="shared" si="235"/>
        <v>0</v>
      </c>
      <c r="V299">
        <f t="shared" si="236"/>
        <v>0</v>
      </c>
      <c r="W299">
        <f t="shared" si="237"/>
        <v>0</v>
      </c>
      <c r="X299">
        <f t="shared" si="238"/>
        <v>0</v>
      </c>
      <c r="Y299">
        <f t="shared" si="239"/>
        <v>0</v>
      </c>
      <c r="AA299">
        <v>42184655</v>
      </c>
      <c r="AB299">
        <f t="shared" si="240"/>
        <v>47.27</v>
      </c>
      <c r="AC299">
        <f>ROUND((ES299),6)</f>
        <v>0</v>
      </c>
      <c r="AD299">
        <f>ROUND((((ET299)-(EU299))+AE299),6)</f>
        <v>47.27</v>
      </c>
      <c r="AE299">
        <f t="shared" si="241"/>
        <v>25.66</v>
      </c>
      <c r="AF299">
        <f t="shared" si="241"/>
        <v>0</v>
      </c>
      <c r="AG299">
        <f t="shared" si="242"/>
        <v>0</v>
      </c>
      <c r="AH299">
        <f t="shared" si="243"/>
        <v>0</v>
      </c>
      <c r="AI299">
        <f t="shared" si="243"/>
        <v>0</v>
      </c>
      <c r="AJ299">
        <f t="shared" si="244"/>
        <v>0</v>
      </c>
      <c r="AK299">
        <v>47.27</v>
      </c>
      <c r="AL299">
        <v>0</v>
      </c>
      <c r="AM299">
        <v>47.27</v>
      </c>
      <c r="AN299">
        <v>25.66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1</v>
      </c>
      <c r="AW299">
        <v>1</v>
      </c>
      <c r="AZ299">
        <v>1</v>
      </c>
      <c r="BA299">
        <v>1</v>
      </c>
      <c r="BB299">
        <v>1</v>
      </c>
      <c r="BC299">
        <v>1</v>
      </c>
      <c r="BD299" t="s">
        <v>3</v>
      </c>
      <c r="BE299" t="s">
        <v>3</v>
      </c>
      <c r="BF299" t="s">
        <v>3</v>
      </c>
      <c r="BG299" t="s">
        <v>3</v>
      </c>
      <c r="BH299">
        <v>0</v>
      </c>
      <c r="BI299">
        <v>4</v>
      </c>
      <c r="BJ299" t="s">
        <v>39</v>
      </c>
      <c r="BM299">
        <v>1</v>
      </c>
      <c r="BN299">
        <v>0</v>
      </c>
      <c r="BO299" t="s">
        <v>3</v>
      </c>
      <c r="BP299">
        <v>0</v>
      </c>
      <c r="BQ299">
        <v>1</v>
      </c>
      <c r="BR299">
        <v>0</v>
      </c>
      <c r="BS299">
        <v>1</v>
      </c>
      <c r="BT299">
        <v>1</v>
      </c>
      <c r="BU299">
        <v>1</v>
      </c>
      <c r="BV299">
        <v>1</v>
      </c>
      <c r="BW299">
        <v>1</v>
      </c>
      <c r="BX299">
        <v>1</v>
      </c>
      <c r="BY299" t="s">
        <v>3</v>
      </c>
      <c r="BZ299">
        <v>0</v>
      </c>
      <c r="CA299">
        <v>0</v>
      </c>
      <c r="CE299">
        <v>0</v>
      </c>
      <c r="CF299">
        <v>0</v>
      </c>
      <c r="CG299">
        <v>0</v>
      </c>
      <c r="CM299">
        <v>0</v>
      </c>
      <c r="CN299" t="s">
        <v>3</v>
      </c>
      <c r="CO299">
        <v>0</v>
      </c>
      <c r="CP299">
        <f t="shared" si="245"/>
        <v>1219.57</v>
      </c>
      <c r="CQ299">
        <f t="shared" si="246"/>
        <v>0</v>
      </c>
      <c r="CR299">
        <f>((((ET299)*BB299-(EU299)*BS299)+AE299*BS299)*AV299)</f>
        <v>47.27</v>
      </c>
      <c r="CS299">
        <f t="shared" si="247"/>
        <v>25.66</v>
      </c>
      <c r="CT299">
        <f t="shared" si="248"/>
        <v>0</v>
      </c>
      <c r="CU299">
        <f t="shared" si="249"/>
        <v>0</v>
      </c>
      <c r="CV299">
        <f t="shared" si="250"/>
        <v>0</v>
      </c>
      <c r="CW299">
        <f t="shared" si="251"/>
        <v>0</v>
      </c>
      <c r="CX299">
        <f t="shared" si="252"/>
        <v>0</v>
      </c>
      <c r="CY299">
        <f t="shared" si="253"/>
        <v>0</v>
      </c>
      <c r="CZ299">
        <f t="shared" si="254"/>
        <v>0</v>
      </c>
      <c r="DC299" t="s">
        <v>3</v>
      </c>
      <c r="DD299" t="s">
        <v>3</v>
      </c>
      <c r="DE299" t="s">
        <v>3</v>
      </c>
      <c r="DF299" t="s">
        <v>3</v>
      </c>
      <c r="DG299" t="s">
        <v>3</v>
      </c>
      <c r="DH299" t="s">
        <v>3</v>
      </c>
      <c r="DI299" t="s">
        <v>3</v>
      </c>
      <c r="DJ299" t="s">
        <v>3</v>
      </c>
      <c r="DK299" t="s">
        <v>3</v>
      </c>
      <c r="DL299" t="s">
        <v>3</v>
      </c>
      <c r="DM299" t="s">
        <v>3</v>
      </c>
      <c r="DN299">
        <v>0</v>
      </c>
      <c r="DO299">
        <v>0</v>
      </c>
      <c r="DP299">
        <v>1</v>
      </c>
      <c r="DQ299">
        <v>1</v>
      </c>
      <c r="DU299">
        <v>1007</v>
      </c>
      <c r="DV299" t="s">
        <v>38</v>
      </c>
      <c r="DW299" t="s">
        <v>38</v>
      </c>
      <c r="DX299">
        <v>1</v>
      </c>
      <c r="EE299">
        <v>40658662</v>
      </c>
      <c r="EF299">
        <v>1</v>
      </c>
      <c r="EG299" t="s">
        <v>24</v>
      </c>
      <c r="EH299">
        <v>0</v>
      </c>
      <c r="EI299" t="s">
        <v>3</v>
      </c>
      <c r="EJ299">
        <v>4</v>
      </c>
      <c r="EK299">
        <v>1</v>
      </c>
      <c r="EL299" t="s">
        <v>40</v>
      </c>
      <c r="EM299" t="s">
        <v>26</v>
      </c>
      <c r="EO299" t="s">
        <v>3</v>
      </c>
      <c r="EQ299">
        <v>0</v>
      </c>
      <c r="ER299">
        <v>47.27</v>
      </c>
      <c r="ES299">
        <v>0</v>
      </c>
      <c r="ET299">
        <v>47.27</v>
      </c>
      <c r="EU299">
        <v>25.66</v>
      </c>
      <c r="EV299">
        <v>0</v>
      </c>
      <c r="EW299">
        <v>0</v>
      </c>
      <c r="EX299">
        <v>0</v>
      </c>
      <c r="EY299">
        <v>0</v>
      </c>
      <c r="FQ299">
        <v>0</v>
      </c>
      <c r="FR299">
        <f t="shared" si="255"/>
        <v>0</v>
      </c>
      <c r="FS299">
        <v>0</v>
      </c>
      <c r="FX299">
        <v>0</v>
      </c>
      <c r="FY299">
        <v>0</v>
      </c>
      <c r="GA299" t="s">
        <v>3</v>
      </c>
      <c r="GD299">
        <v>1</v>
      </c>
      <c r="GF299">
        <v>-1249335408</v>
      </c>
      <c r="GG299">
        <v>2</v>
      </c>
      <c r="GH299">
        <v>1</v>
      </c>
      <c r="GI299">
        <v>-2</v>
      </c>
      <c r="GJ299">
        <v>0</v>
      </c>
      <c r="GK299">
        <v>0</v>
      </c>
      <c r="GL299">
        <f t="shared" si="256"/>
        <v>0</v>
      </c>
      <c r="GM299">
        <f>ROUND(O299+X299+Y299,2)+GX299</f>
        <v>1219.57</v>
      </c>
      <c r="GN299">
        <f>IF(OR(BI299=0,BI299=1),ROUND(O299+X299+Y299,2),0)</f>
        <v>0</v>
      </c>
      <c r="GO299">
        <f>IF(BI299=2,ROUND(O299+X299+Y299,2),0)</f>
        <v>0</v>
      </c>
      <c r="GP299">
        <f>IF(BI299=4,ROUND(O299+X299+Y299,2)+GX299,0)</f>
        <v>1219.57</v>
      </c>
      <c r="GR299">
        <v>0</v>
      </c>
      <c r="GS299">
        <v>3</v>
      </c>
      <c r="GT299">
        <v>0</v>
      </c>
      <c r="GU299" t="s">
        <v>3</v>
      </c>
      <c r="GV299">
        <f t="shared" si="257"/>
        <v>0</v>
      </c>
      <c r="GW299">
        <v>1</v>
      </c>
      <c r="GX299">
        <f t="shared" si="258"/>
        <v>0</v>
      </c>
      <c r="HA299">
        <v>0</v>
      </c>
      <c r="HB299">
        <v>0</v>
      </c>
      <c r="HC299">
        <f t="shared" si="259"/>
        <v>0</v>
      </c>
      <c r="IK299">
        <v>0</v>
      </c>
    </row>
    <row r="300" spans="1:245" x14ac:dyDescent="0.2">
      <c r="A300">
        <v>17</v>
      </c>
      <c r="B300">
        <v>1</v>
      </c>
      <c r="C300">
        <f>ROW(SmtRes!A132)</f>
        <v>132</v>
      </c>
      <c r="D300">
        <f>ROW(EtalonRes!A129)</f>
        <v>129</v>
      </c>
      <c r="E300" t="s">
        <v>239</v>
      </c>
      <c r="F300" t="s">
        <v>42</v>
      </c>
      <c r="G300" t="s">
        <v>43</v>
      </c>
      <c r="H300" t="s">
        <v>38</v>
      </c>
      <c r="I300">
        <f>ROUND(I299,9)</f>
        <v>25.8</v>
      </c>
      <c r="J300">
        <v>0</v>
      </c>
      <c r="O300">
        <f t="shared" si="229"/>
        <v>21246.3</v>
      </c>
      <c r="P300">
        <f t="shared" si="230"/>
        <v>0</v>
      </c>
      <c r="Q300">
        <f t="shared" si="231"/>
        <v>21246.3</v>
      </c>
      <c r="R300">
        <f t="shared" si="232"/>
        <v>11535.7</v>
      </c>
      <c r="S300">
        <f t="shared" si="233"/>
        <v>0</v>
      </c>
      <c r="T300">
        <f t="shared" si="234"/>
        <v>0</v>
      </c>
      <c r="U300">
        <f t="shared" si="235"/>
        <v>0</v>
      </c>
      <c r="V300">
        <f t="shared" si="236"/>
        <v>0</v>
      </c>
      <c r="W300">
        <f t="shared" si="237"/>
        <v>0</v>
      </c>
      <c r="X300">
        <f t="shared" si="238"/>
        <v>0</v>
      </c>
      <c r="Y300">
        <f t="shared" si="239"/>
        <v>0</v>
      </c>
      <c r="AA300">
        <v>42184655</v>
      </c>
      <c r="AB300">
        <f t="shared" si="240"/>
        <v>823.5</v>
      </c>
      <c r="AC300">
        <f>ROUND(((ES300*54)),6)</f>
        <v>0</v>
      </c>
      <c r="AD300">
        <f>ROUND(((((ET300*54))-((EU300*54)))+AE300),6)</f>
        <v>823.5</v>
      </c>
      <c r="AE300">
        <f>ROUND(((EU300*54)),6)</f>
        <v>447.12</v>
      </c>
      <c r="AF300">
        <f>ROUND(((EV300*54)),6)</f>
        <v>0</v>
      </c>
      <c r="AG300">
        <f t="shared" si="242"/>
        <v>0</v>
      </c>
      <c r="AH300">
        <f>((EW300*54))</f>
        <v>0</v>
      </c>
      <c r="AI300">
        <f>((EX300*54))</f>
        <v>0</v>
      </c>
      <c r="AJ300">
        <f t="shared" si="244"/>
        <v>0</v>
      </c>
      <c r="AK300">
        <v>15.25</v>
      </c>
      <c r="AL300">
        <v>0</v>
      </c>
      <c r="AM300">
        <v>15.25</v>
      </c>
      <c r="AN300">
        <v>8.2799999999999994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1</v>
      </c>
      <c r="AW300">
        <v>1</v>
      </c>
      <c r="AZ300">
        <v>1</v>
      </c>
      <c r="BA300">
        <v>1</v>
      </c>
      <c r="BB300">
        <v>1</v>
      </c>
      <c r="BC300">
        <v>1</v>
      </c>
      <c r="BD300" t="s">
        <v>3</v>
      </c>
      <c r="BE300" t="s">
        <v>3</v>
      </c>
      <c r="BF300" t="s">
        <v>3</v>
      </c>
      <c r="BG300" t="s">
        <v>3</v>
      </c>
      <c r="BH300">
        <v>0</v>
      </c>
      <c r="BI300">
        <v>4</v>
      </c>
      <c r="BJ300" t="s">
        <v>44</v>
      </c>
      <c r="BM300">
        <v>1</v>
      </c>
      <c r="BN300">
        <v>0</v>
      </c>
      <c r="BO300" t="s">
        <v>3</v>
      </c>
      <c r="BP300">
        <v>0</v>
      </c>
      <c r="BQ300">
        <v>1</v>
      </c>
      <c r="BR300">
        <v>0</v>
      </c>
      <c r="BS300">
        <v>1</v>
      </c>
      <c r="BT300">
        <v>1</v>
      </c>
      <c r="BU300">
        <v>1</v>
      </c>
      <c r="BV300">
        <v>1</v>
      </c>
      <c r="BW300">
        <v>1</v>
      </c>
      <c r="BX300">
        <v>1</v>
      </c>
      <c r="BY300" t="s">
        <v>3</v>
      </c>
      <c r="BZ300">
        <v>0</v>
      </c>
      <c r="CA300">
        <v>0</v>
      </c>
      <c r="CE300">
        <v>0</v>
      </c>
      <c r="CF300">
        <v>0</v>
      </c>
      <c r="CG300">
        <v>0</v>
      </c>
      <c r="CM300">
        <v>0</v>
      </c>
      <c r="CN300" t="s">
        <v>3</v>
      </c>
      <c r="CO300">
        <v>0</v>
      </c>
      <c r="CP300">
        <f t="shared" si="245"/>
        <v>21246.3</v>
      </c>
      <c r="CQ300">
        <f t="shared" si="246"/>
        <v>0</v>
      </c>
      <c r="CR300">
        <f>(((((ET300*54))*BB300-((EU300*54))*BS300)+AE300*BS300)*AV300)</f>
        <v>823.5</v>
      </c>
      <c r="CS300">
        <f t="shared" si="247"/>
        <v>447.12</v>
      </c>
      <c r="CT300">
        <f t="shared" si="248"/>
        <v>0</v>
      </c>
      <c r="CU300">
        <f t="shared" si="249"/>
        <v>0</v>
      </c>
      <c r="CV300">
        <f t="shared" si="250"/>
        <v>0</v>
      </c>
      <c r="CW300">
        <f t="shared" si="251"/>
        <v>0</v>
      </c>
      <c r="CX300">
        <f t="shared" si="252"/>
        <v>0</v>
      </c>
      <c r="CY300">
        <f t="shared" si="253"/>
        <v>0</v>
      </c>
      <c r="CZ300">
        <f t="shared" si="254"/>
        <v>0</v>
      </c>
      <c r="DC300" t="s">
        <v>3</v>
      </c>
      <c r="DD300" t="s">
        <v>45</v>
      </c>
      <c r="DE300" t="s">
        <v>45</v>
      </c>
      <c r="DF300" t="s">
        <v>45</v>
      </c>
      <c r="DG300" t="s">
        <v>45</v>
      </c>
      <c r="DH300" t="s">
        <v>3</v>
      </c>
      <c r="DI300" t="s">
        <v>45</v>
      </c>
      <c r="DJ300" t="s">
        <v>45</v>
      </c>
      <c r="DK300" t="s">
        <v>3</v>
      </c>
      <c r="DL300" t="s">
        <v>3</v>
      </c>
      <c r="DM300" t="s">
        <v>3</v>
      </c>
      <c r="DN300">
        <v>0</v>
      </c>
      <c r="DO300">
        <v>0</v>
      </c>
      <c r="DP300">
        <v>1</v>
      </c>
      <c r="DQ300">
        <v>1</v>
      </c>
      <c r="DU300">
        <v>1007</v>
      </c>
      <c r="DV300" t="s">
        <v>38</v>
      </c>
      <c r="DW300" t="s">
        <v>38</v>
      </c>
      <c r="DX300">
        <v>1</v>
      </c>
      <c r="EE300">
        <v>40658662</v>
      </c>
      <c r="EF300">
        <v>1</v>
      </c>
      <c r="EG300" t="s">
        <v>24</v>
      </c>
      <c r="EH300">
        <v>0</v>
      </c>
      <c r="EI300" t="s">
        <v>3</v>
      </c>
      <c r="EJ300">
        <v>4</v>
      </c>
      <c r="EK300">
        <v>1</v>
      </c>
      <c r="EL300" t="s">
        <v>40</v>
      </c>
      <c r="EM300" t="s">
        <v>26</v>
      </c>
      <c r="EO300" t="s">
        <v>3</v>
      </c>
      <c r="EQ300">
        <v>0</v>
      </c>
      <c r="ER300">
        <v>15.25</v>
      </c>
      <c r="ES300">
        <v>0</v>
      </c>
      <c r="ET300">
        <v>15.25</v>
      </c>
      <c r="EU300">
        <v>8.2799999999999994</v>
      </c>
      <c r="EV300">
        <v>0</v>
      </c>
      <c r="EW300">
        <v>0</v>
      </c>
      <c r="EX300">
        <v>0</v>
      </c>
      <c r="EY300">
        <v>0</v>
      </c>
      <c r="FQ300">
        <v>0</v>
      </c>
      <c r="FR300">
        <f t="shared" si="255"/>
        <v>0</v>
      </c>
      <c r="FS300">
        <v>0</v>
      </c>
      <c r="FX300">
        <v>0</v>
      </c>
      <c r="FY300">
        <v>0</v>
      </c>
      <c r="GA300" t="s">
        <v>3</v>
      </c>
      <c r="GD300">
        <v>1</v>
      </c>
      <c r="GF300">
        <v>1511999612</v>
      </c>
      <c r="GG300">
        <v>2</v>
      </c>
      <c r="GH300">
        <v>1</v>
      </c>
      <c r="GI300">
        <v>-2</v>
      </c>
      <c r="GJ300">
        <v>0</v>
      </c>
      <c r="GK300">
        <v>0</v>
      </c>
      <c r="GL300">
        <f t="shared" si="256"/>
        <v>0</v>
      </c>
      <c r="GM300">
        <f>ROUND(O300+X300+Y300,2)+GX300</f>
        <v>21246.3</v>
      </c>
      <c r="GN300">
        <f>IF(OR(BI300=0,BI300=1),ROUND(O300+X300+Y300,2),0)</f>
        <v>0</v>
      </c>
      <c r="GO300">
        <f>IF(BI300=2,ROUND(O300+X300+Y300,2),0)</f>
        <v>0</v>
      </c>
      <c r="GP300">
        <f>IF(BI300=4,ROUND(O300+X300+Y300,2)+GX300,0)</f>
        <v>21246.3</v>
      </c>
      <c r="GR300">
        <v>0</v>
      </c>
      <c r="GS300">
        <v>3</v>
      </c>
      <c r="GT300">
        <v>0</v>
      </c>
      <c r="GU300" t="s">
        <v>3</v>
      </c>
      <c r="GV300">
        <f t="shared" si="257"/>
        <v>0</v>
      </c>
      <c r="GW300">
        <v>1</v>
      </c>
      <c r="GX300">
        <f t="shared" si="258"/>
        <v>0</v>
      </c>
      <c r="HA300">
        <v>0</v>
      </c>
      <c r="HB300">
        <v>0</v>
      </c>
      <c r="HC300">
        <f t="shared" si="259"/>
        <v>0</v>
      </c>
      <c r="IK300">
        <v>0</v>
      </c>
    </row>
    <row r="301" spans="1:245" x14ac:dyDescent="0.2">
      <c r="A301">
        <v>17</v>
      </c>
      <c r="B301">
        <v>1</v>
      </c>
      <c r="E301" t="s">
        <v>240</v>
      </c>
      <c r="F301" t="s">
        <v>47</v>
      </c>
      <c r="G301" t="s">
        <v>48</v>
      </c>
      <c r="H301" t="s">
        <v>3</v>
      </c>
      <c r="I301">
        <f>ROUND(I299*1.4,9)</f>
        <v>36.119999999999997</v>
      </c>
      <c r="J301">
        <v>0</v>
      </c>
      <c r="O301">
        <f t="shared" si="229"/>
        <v>3622.84</v>
      </c>
      <c r="P301">
        <f t="shared" si="230"/>
        <v>3622.84</v>
      </c>
      <c r="Q301">
        <f t="shared" si="231"/>
        <v>0</v>
      </c>
      <c r="R301">
        <f t="shared" si="232"/>
        <v>0</v>
      </c>
      <c r="S301">
        <f t="shared" si="233"/>
        <v>0</v>
      </c>
      <c r="T301">
        <f t="shared" si="234"/>
        <v>0</v>
      </c>
      <c r="U301">
        <f t="shared" si="235"/>
        <v>0</v>
      </c>
      <c r="V301">
        <f t="shared" si="236"/>
        <v>0</v>
      </c>
      <c r="W301">
        <f t="shared" si="237"/>
        <v>0</v>
      </c>
      <c r="X301">
        <f t="shared" si="238"/>
        <v>0</v>
      </c>
      <c r="Y301">
        <f t="shared" si="239"/>
        <v>0</v>
      </c>
      <c r="AA301">
        <v>42184655</v>
      </c>
      <c r="AB301">
        <f t="shared" si="240"/>
        <v>100.3</v>
      </c>
      <c r="AC301">
        <f>ROUND((ES301),6)</f>
        <v>100.3</v>
      </c>
      <c r="AD301">
        <f>ROUND((((ET301)-(EU301))+AE301),6)</f>
        <v>0</v>
      </c>
      <c r="AE301">
        <f t="shared" ref="AE301:AF305" si="260">ROUND((EU301),6)</f>
        <v>0</v>
      </c>
      <c r="AF301">
        <f t="shared" si="260"/>
        <v>0</v>
      </c>
      <c r="AG301">
        <f t="shared" si="242"/>
        <v>0</v>
      </c>
      <c r="AH301">
        <f t="shared" ref="AH301:AI305" si="261">(EW301)</f>
        <v>0</v>
      </c>
      <c r="AI301">
        <f t="shared" si="261"/>
        <v>0</v>
      </c>
      <c r="AJ301">
        <f t="shared" si="244"/>
        <v>0</v>
      </c>
      <c r="AK301">
        <v>100.3</v>
      </c>
      <c r="AL301">
        <v>100.3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1</v>
      </c>
      <c r="AW301">
        <v>1</v>
      </c>
      <c r="AZ301">
        <v>1</v>
      </c>
      <c r="BA301">
        <v>1</v>
      </c>
      <c r="BB301">
        <v>1</v>
      </c>
      <c r="BC301">
        <v>1</v>
      </c>
      <c r="BD301" t="s">
        <v>3</v>
      </c>
      <c r="BE301" t="s">
        <v>3</v>
      </c>
      <c r="BF301" t="s">
        <v>3</v>
      </c>
      <c r="BG301" t="s">
        <v>3</v>
      </c>
      <c r="BH301">
        <v>3</v>
      </c>
      <c r="BI301">
        <v>1</v>
      </c>
      <c r="BJ301" t="s">
        <v>3</v>
      </c>
      <c r="BM301">
        <v>6001</v>
      </c>
      <c r="BN301">
        <v>0</v>
      </c>
      <c r="BO301" t="s">
        <v>3</v>
      </c>
      <c r="BP301">
        <v>0</v>
      </c>
      <c r="BQ301">
        <v>0</v>
      </c>
      <c r="BR301">
        <v>0</v>
      </c>
      <c r="BS301">
        <v>1</v>
      </c>
      <c r="BT301">
        <v>1</v>
      </c>
      <c r="BU301">
        <v>1</v>
      </c>
      <c r="BV301">
        <v>1</v>
      </c>
      <c r="BW301">
        <v>1</v>
      </c>
      <c r="BX301">
        <v>1</v>
      </c>
      <c r="BY301" t="s">
        <v>3</v>
      </c>
      <c r="BZ301">
        <v>0</v>
      </c>
      <c r="CA301">
        <v>0</v>
      </c>
      <c r="CE301">
        <v>0</v>
      </c>
      <c r="CF301">
        <v>0</v>
      </c>
      <c r="CG301">
        <v>0</v>
      </c>
      <c r="CM301">
        <v>0</v>
      </c>
      <c r="CN301" t="s">
        <v>3</v>
      </c>
      <c r="CO301">
        <v>0</v>
      </c>
      <c r="CP301">
        <f t="shared" si="245"/>
        <v>3622.84</v>
      </c>
      <c r="CQ301">
        <f t="shared" si="246"/>
        <v>100.3</v>
      </c>
      <c r="CR301">
        <f>((((ET301)*BB301-(EU301)*BS301)+AE301*BS301)*AV301)</f>
        <v>0</v>
      </c>
      <c r="CS301">
        <f t="shared" si="247"/>
        <v>0</v>
      </c>
      <c r="CT301">
        <f t="shared" si="248"/>
        <v>0</v>
      </c>
      <c r="CU301">
        <f t="shared" si="249"/>
        <v>0</v>
      </c>
      <c r="CV301">
        <f t="shared" si="250"/>
        <v>0</v>
      </c>
      <c r="CW301">
        <f t="shared" si="251"/>
        <v>0</v>
      </c>
      <c r="CX301">
        <f t="shared" si="252"/>
        <v>0</v>
      </c>
      <c r="CY301">
        <f t="shared" si="253"/>
        <v>0</v>
      </c>
      <c r="CZ301">
        <f t="shared" si="254"/>
        <v>0</v>
      </c>
      <c r="DC301" t="s">
        <v>3</v>
      </c>
      <c r="DD301" t="s">
        <v>3</v>
      </c>
      <c r="DE301" t="s">
        <v>3</v>
      </c>
      <c r="DF301" t="s">
        <v>3</v>
      </c>
      <c r="DG301" t="s">
        <v>3</v>
      </c>
      <c r="DH301" t="s">
        <v>3</v>
      </c>
      <c r="DI301" t="s">
        <v>3</v>
      </c>
      <c r="DJ301" t="s">
        <v>3</v>
      </c>
      <c r="DK301" t="s">
        <v>3</v>
      </c>
      <c r="DL301" t="s">
        <v>3</v>
      </c>
      <c r="DM301" t="s">
        <v>3</v>
      </c>
      <c r="DN301">
        <v>0</v>
      </c>
      <c r="DO301">
        <v>0</v>
      </c>
      <c r="DP301">
        <v>1</v>
      </c>
      <c r="DQ301">
        <v>1</v>
      </c>
      <c r="EE301">
        <v>42086242</v>
      </c>
      <c r="EF301">
        <v>0</v>
      </c>
      <c r="EG301" t="s">
        <v>49</v>
      </c>
      <c r="EH301">
        <v>0</v>
      </c>
      <c r="EI301" t="s">
        <v>3</v>
      </c>
      <c r="EJ301">
        <v>1</v>
      </c>
      <c r="EK301">
        <v>6001</v>
      </c>
      <c r="EL301" t="s">
        <v>50</v>
      </c>
      <c r="EM301" t="s">
        <v>49</v>
      </c>
      <c r="EO301" t="s">
        <v>3</v>
      </c>
      <c r="EQ301">
        <v>0</v>
      </c>
      <c r="ER301">
        <v>100.3</v>
      </c>
      <c r="ES301">
        <v>100.3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5</v>
      </c>
      <c r="FC301">
        <v>0</v>
      </c>
      <c r="FD301">
        <v>18</v>
      </c>
      <c r="FF301">
        <v>100.3</v>
      </c>
      <c r="FQ301">
        <v>0</v>
      </c>
      <c r="FR301">
        <f t="shared" si="255"/>
        <v>0</v>
      </c>
      <c r="FS301">
        <v>0</v>
      </c>
      <c r="FX301">
        <v>0</v>
      </c>
      <c r="FY301">
        <v>0</v>
      </c>
      <c r="GA301" t="s">
        <v>51</v>
      </c>
      <c r="GD301">
        <v>0</v>
      </c>
      <c r="GF301">
        <v>572566054</v>
      </c>
      <c r="GG301">
        <v>2</v>
      </c>
      <c r="GH301">
        <v>3</v>
      </c>
      <c r="GI301">
        <v>-2</v>
      </c>
      <c r="GJ301">
        <v>0</v>
      </c>
      <c r="GK301">
        <f>ROUND(R301*(R12)/100,2)</f>
        <v>0</v>
      </c>
      <c r="GL301">
        <f t="shared" si="256"/>
        <v>0</v>
      </c>
      <c r="GM301">
        <f>ROUND(O301+X301+Y301+GK301,2)+GX301</f>
        <v>3622.84</v>
      </c>
      <c r="GN301">
        <f>IF(OR(BI301=0,BI301=1),ROUND(O301+X301+Y301+GK301,2),0)</f>
        <v>3622.84</v>
      </c>
      <c r="GO301">
        <f>IF(BI301=2,ROUND(O301+X301+Y301+GK301,2),0)</f>
        <v>0</v>
      </c>
      <c r="GP301">
        <f>IF(BI301=4,ROUND(O301+X301+Y301+GK301,2)+GX301,0)</f>
        <v>0</v>
      </c>
      <c r="GR301">
        <v>1</v>
      </c>
      <c r="GS301">
        <v>1</v>
      </c>
      <c r="GT301">
        <v>0</v>
      </c>
      <c r="GU301" t="s">
        <v>3</v>
      </c>
      <c r="GV301">
        <f t="shared" si="257"/>
        <v>0</v>
      </c>
      <c r="GW301">
        <v>1</v>
      </c>
      <c r="GX301">
        <f t="shared" si="258"/>
        <v>0</v>
      </c>
      <c r="HA301">
        <v>0</v>
      </c>
      <c r="HB301">
        <v>0</v>
      </c>
      <c r="HC301">
        <f t="shared" si="259"/>
        <v>0</v>
      </c>
      <c r="IK301">
        <v>0</v>
      </c>
    </row>
    <row r="302" spans="1:245" x14ac:dyDescent="0.2">
      <c r="A302">
        <v>17</v>
      </c>
      <c r="B302">
        <v>1</v>
      </c>
      <c r="C302">
        <f>ROW(SmtRes!A140)</f>
        <v>140</v>
      </c>
      <c r="D302">
        <f>ROW(EtalonRes!A137)</f>
        <v>137</v>
      </c>
      <c r="E302" t="s">
        <v>241</v>
      </c>
      <c r="F302" t="s">
        <v>53</v>
      </c>
      <c r="G302" t="s">
        <v>54</v>
      </c>
      <c r="H302" t="s">
        <v>22</v>
      </c>
      <c r="I302">
        <f>ROUND((60*0.2)/100,9)</f>
        <v>0.12</v>
      </c>
      <c r="J302">
        <v>0</v>
      </c>
      <c r="O302">
        <f t="shared" si="229"/>
        <v>9103.66</v>
      </c>
      <c r="P302">
        <f t="shared" si="230"/>
        <v>7819.45</v>
      </c>
      <c r="Q302">
        <f t="shared" si="231"/>
        <v>912.27</v>
      </c>
      <c r="R302">
        <f t="shared" si="232"/>
        <v>386.76</v>
      </c>
      <c r="S302">
        <f t="shared" si="233"/>
        <v>371.94</v>
      </c>
      <c r="T302">
        <f t="shared" si="234"/>
        <v>0</v>
      </c>
      <c r="U302">
        <f t="shared" si="235"/>
        <v>1.9871999999999999</v>
      </c>
      <c r="V302">
        <f t="shared" si="236"/>
        <v>0</v>
      </c>
      <c r="W302">
        <f t="shared" si="237"/>
        <v>0</v>
      </c>
      <c r="X302">
        <f t="shared" si="238"/>
        <v>260.36</v>
      </c>
      <c r="Y302">
        <f t="shared" si="239"/>
        <v>37.19</v>
      </c>
      <c r="AA302">
        <v>42184655</v>
      </c>
      <c r="AB302">
        <f t="shared" si="240"/>
        <v>75863.820000000007</v>
      </c>
      <c r="AC302">
        <f>ROUND((ES302),6)</f>
        <v>65162.05</v>
      </c>
      <c r="AD302">
        <f>ROUND((((ET302)-(EU302))+AE302),6)</f>
        <v>7602.23</v>
      </c>
      <c r="AE302">
        <f t="shared" si="260"/>
        <v>3222.98</v>
      </c>
      <c r="AF302">
        <f t="shared" si="260"/>
        <v>3099.54</v>
      </c>
      <c r="AG302">
        <f t="shared" si="242"/>
        <v>0</v>
      </c>
      <c r="AH302">
        <f t="shared" si="261"/>
        <v>16.559999999999999</v>
      </c>
      <c r="AI302">
        <f t="shared" si="261"/>
        <v>0</v>
      </c>
      <c r="AJ302">
        <f t="shared" si="244"/>
        <v>0</v>
      </c>
      <c r="AK302">
        <v>75863.820000000007</v>
      </c>
      <c r="AL302">
        <v>65162.05</v>
      </c>
      <c r="AM302">
        <v>7602.23</v>
      </c>
      <c r="AN302">
        <v>3222.98</v>
      </c>
      <c r="AO302">
        <v>3099.54</v>
      </c>
      <c r="AP302">
        <v>0</v>
      </c>
      <c r="AQ302">
        <v>16.559999999999999</v>
      </c>
      <c r="AR302">
        <v>0</v>
      </c>
      <c r="AS302">
        <v>0</v>
      </c>
      <c r="AT302">
        <v>70</v>
      </c>
      <c r="AU302">
        <v>10</v>
      </c>
      <c r="AV302">
        <v>1</v>
      </c>
      <c r="AW302">
        <v>1</v>
      </c>
      <c r="AZ302">
        <v>1</v>
      </c>
      <c r="BA302">
        <v>1</v>
      </c>
      <c r="BB302">
        <v>1</v>
      </c>
      <c r="BC302">
        <v>1</v>
      </c>
      <c r="BD302" t="s">
        <v>3</v>
      </c>
      <c r="BE302" t="s">
        <v>3</v>
      </c>
      <c r="BF302" t="s">
        <v>3</v>
      </c>
      <c r="BG302" t="s">
        <v>3</v>
      </c>
      <c r="BH302">
        <v>0</v>
      </c>
      <c r="BI302">
        <v>4</v>
      </c>
      <c r="BJ302" t="s">
        <v>55</v>
      </c>
      <c r="BM302">
        <v>0</v>
      </c>
      <c r="BN302">
        <v>0</v>
      </c>
      <c r="BO302" t="s">
        <v>3</v>
      </c>
      <c r="BP302">
        <v>0</v>
      </c>
      <c r="BQ302">
        <v>1</v>
      </c>
      <c r="BR302">
        <v>0</v>
      </c>
      <c r="BS302">
        <v>1</v>
      </c>
      <c r="BT302">
        <v>1</v>
      </c>
      <c r="BU302">
        <v>1</v>
      </c>
      <c r="BV302">
        <v>1</v>
      </c>
      <c r="BW302">
        <v>1</v>
      </c>
      <c r="BX302">
        <v>1</v>
      </c>
      <c r="BY302" t="s">
        <v>3</v>
      </c>
      <c r="BZ302">
        <v>70</v>
      </c>
      <c r="CA302">
        <v>10</v>
      </c>
      <c r="CE302">
        <v>0</v>
      </c>
      <c r="CF302">
        <v>0</v>
      </c>
      <c r="CG302">
        <v>0</v>
      </c>
      <c r="CM302">
        <v>0</v>
      </c>
      <c r="CN302" t="s">
        <v>3</v>
      </c>
      <c r="CO302">
        <v>0</v>
      </c>
      <c r="CP302">
        <f t="shared" si="245"/>
        <v>9103.66</v>
      </c>
      <c r="CQ302">
        <f t="shared" si="246"/>
        <v>65162.05</v>
      </c>
      <c r="CR302">
        <f>((((ET302)*BB302-(EU302)*BS302)+AE302*BS302)*AV302)</f>
        <v>7602.23</v>
      </c>
      <c r="CS302">
        <f t="shared" si="247"/>
        <v>3222.98</v>
      </c>
      <c r="CT302">
        <f t="shared" si="248"/>
        <v>3099.54</v>
      </c>
      <c r="CU302">
        <f t="shared" si="249"/>
        <v>0</v>
      </c>
      <c r="CV302">
        <f t="shared" si="250"/>
        <v>16.559999999999999</v>
      </c>
      <c r="CW302">
        <f t="shared" si="251"/>
        <v>0</v>
      </c>
      <c r="CX302">
        <f t="shared" si="252"/>
        <v>0</v>
      </c>
      <c r="CY302">
        <f t="shared" si="253"/>
        <v>260.358</v>
      </c>
      <c r="CZ302">
        <f t="shared" si="254"/>
        <v>37.194000000000003</v>
      </c>
      <c r="DC302" t="s">
        <v>3</v>
      </c>
      <c r="DD302" t="s">
        <v>3</v>
      </c>
      <c r="DE302" t="s">
        <v>3</v>
      </c>
      <c r="DF302" t="s">
        <v>3</v>
      </c>
      <c r="DG302" t="s">
        <v>3</v>
      </c>
      <c r="DH302" t="s">
        <v>3</v>
      </c>
      <c r="DI302" t="s">
        <v>3</v>
      </c>
      <c r="DJ302" t="s">
        <v>3</v>
      </c>
      <c r="DK302" t="s">
        <v>3</v>
      </c>
      <c r="DL302" t="s">
        <v>3</v>
      </c>
      <c r="DM302" t="s">
        <v>3</v>
      </c>
      <c r="DN302">
        <v>0</v>
      </c>
      <c r="DO302">
        <v>0</v>
      </c>
      <c r="DP302">
        <v>1</v>
      </c>
      <c r="DQ302">
        <v>1</v>
      </c>
      <c r="DU302">
        <v>1007</v>
      </c>
      <c r="DV302" t="s">
        <v>22</v>
      </c>
      <c r="DW302" t="s">
        <v>22</v>
      </c>
      <c r="DX302">
        <v>100</v>
      </c>
      <c r="EE302">
        <v>40658659</v>
      </c>
      <c r="EF302">
        <v>1</v>
      </c>
      <c r="EG302" t="s">
        <v>24</v>
      </c>
      <c r="EH302">
        <v>0</v>
      </c>
      <c r="EI302" t="s">
        <v>3</v>
      </c>
      <c r="EJ302">
        <v>4</v>
      </c>
      <c r="EK302">
        <v>0</v>
      </c>
      <c r="EL302" t="s">
        <v>25</v>
      </c>
      <c r="EM302" t="s">
        <v>26</v>
      </c>
      <c r="EO302" t="s">
        <v>3</v>
      </c>
      <c r="EQ302">
        <v>0</v>
      </c>
      <c r="ER302">
        <v>75863.820000000007</v>
      </c>
      <c r="ES302">
        <v>65162.05</v>
      </c>
      <c r="ET302">
        <v>7602.23</v>
      </c>
      <c r="EU302">
        <v>3222.98</v>
      </c>
      <c r="EV302">
        <v>3099.54</v>
      </c>
      <c r="EW302">
        <v>16.559999999999999</v>
      </c>
      <c r="EX302">
        <v>0</v>
      </c>
      <c r="EY302">
        <v>0</v>
      </c>
      <c r="FQ302">
        <v>0</v>
      </c>
      <c r="FR302">
        <f t="shared" si="255"/>
        <v>0</v>
      </c>
      <c r="FS302">
        <v>0</v>
      </c>
      <c r="FX302">
        <v>70</v>
      </c>
      <c r="FY302">
        <v>10</v>
      </c>
      <c r="GA302" t="s">
        <v>3</v>
      </c>
      <c r="GD302">
        <v>0</v>
      </c>
      <c r="GF302">
        <v>2135562757</v>
      </c>
      <c r="GG302">
        <v>2</v>
      </c>
      <c r="GH302">
        <v>1</v>
      </c>
      <c r="GI302">
        <v>-2</v>
      </c>
      <c r="GJ302">
        <v>0</v>
      </c>
      <c r="GK302">
        <f>ROUND(R302*(R12)/100,2)</f>
        <v>417.7</v>
      </c>
      <c r="GL302">
        <f t="shared" si="256"/>
        <v>0</v>
      </c>
      <c r="GM302">
        <f>ROUND(O302+X302+Y302+GK302,2)+GX302</f>
        <v>9818.91</v>
      </c>
      <c r="GN302">
        <f>IF(OR(BI302=0,BI302=1),ROUND(O302+X302+Y302+GK302,2),0)</f>
        <v>0</v>
      </c>
      <c r="GO302">
        <f>IF(BI302=2,ROUND(O302+X302+Y302+GK302,2),0)</f>
        <v>0</v>
      </c>
      <c r="GP302">
        <f>IF(BI302=4,ROUND(O302+X302+Y302+GK302,2)+GX302,0)</f>
        <v>9818.91</v>
      </c>
      <c r="GR302">
        <v>0</v>
      </c>
      <c r="GS302">
        <v>3</v>
      </c>
      <c r="GT302">
        <v>0</v>
      </c>
      <c r="GU302" t="s">
        <v>3</v>
      </c>
      <c r="GV302">
        <f t="shared" si="257"/>
        <v>0</v>
      </c>
      <c r="GW302">
        <v>1</v>
      </c>
      <c r="GX302">
        <f t="shared" si="258"/>
        <v>0</v>
      </c>
      <c r="HA302">
        <v>0</v>
      </c>
      <c r="HB302">
        <v>0</v>
      </c>
      <c r="HC302">
        <f t="shared" si="259"/>
        <v>0</v>
      </c>
      <c r="IK302">
        <v>0</v>
      </c>
    </row>
    <row r="303" spans="1:245" x14ac:dyDescent="0.2">
      <c r="A303">
        <v>17</v>
      </c>
      <c r="B303">
        <v>1</v>
      </c>
      <c r="C303">
        <f>ROW(SmtRes!A149)</f>
        <v>149</v>
      </c>
      <c r="D303">
        <f>ROW(EtalonRes!A146)</f>
        <v>146</v>
      </c>
      <c r="E303" t="s">
        <v>242</v>
      </c>
      <c r="F303" t="s">
        <v>57</v>
      </c>
      <c r="G303" t="s">
        <v>58</v>
      </c>
      <c r="H303" t="s">
        <v>22</v>
      </c>
      <c r="I303">
        <f>ROUND((60*0.12)/100,9)</f>
        <v>7.1999999999999995E-2</v>
      </c>
      <c r="J303">
        <v>0</v>
      </c>
      <c r="O303">
        <f t="shared" si="229"/>
        <v>20222.25</v>
      </c>
      <c r="P303">
        <f t="shared" si="230"/>
        <v>16018.51</v>
      </c>
      <c r="Q303">
        <f t="shared" si="231"/>
        <v>3868.99</v>
      </c>
      <c r="R303">
        <f t="shared" si="232"/>
        <v>1527.49</v>
      </c>
      <c r="S303">
        <f t="shared" si="233"/>
        <v>334.75</v>
      </c>
      <c r="T303">
        <f t="shared" si="234"/>
        <v>0</v>
      </c>
      <c r="U303">
        <f t="shared" si="235"/>
        <v>1.7884799999999998</v>
      </c>
      <c r="V303">
        <f t="shared" si="236"/>
        <v>0</v>
      </c>
      <c r="W303">
        <f t="shared" si="237"/>
        <v>0</v>
      </c>
      <c r="X303">
        <f t="shared" si="238"/>
        <v>234.33</v>
      </c>
      <c r="Y303">
        <f t="shared" si="239"/>
        <v>33.479999999999997</v>
      </c>
      <c r="AA303">
        <v>42184655</v>
      </c>
      <c r="AB303">
        <f t="shared" si="240"/>
        <v>280864.57</v>
      </c>
      <c r="AC303">
        <f>ROUND((ES303),6)</f>
        <v>222479.25</v>
      </c>
      <c r="AD303">
        <f>ROUND((((ET303)-(EU303))+AE303),6)</f>
        <v>53736.02</v>
      </c>
      <c r="AE303">
        <f t="shared" si="260"/>
        <v>21215.13</v>
      </c>
      <c r="AF303">
        <f t="shared" si="260"/>
        <v>4649.3</v>
      </c>
      <c r="AG303">
        <f t="shared" si="242"/>
        <v>0</v>
      </c>
      <c r="AH303">
        <f t="shared" si="261"/>
        <v>24.84</v>
      </c>
      <c r="AI303">
        <f t="shared" si="261"/>
        <v>0</v>
      </c>
      <c r="AJ303">
        <f t="shared" si="244"/>
        <v>0</v>
      </c>
      <c r="AK303">
        <v>280864.57</v>
      </c>
      <c r="AL303">
        <v>222479.25</v>
      </c>
      <c r="AM303">
        <v>53736.02</v>
      </c>
      <c r="AN303">
        <v>21215.13</v>
      </c>
      <c r="AO303">
        <v>4649.3</v>
      </c>
      <c r="AP303">
        <v>0</v>
      </c>
      <c r="AQ303">
        <v>24.84</v>
      </c>
      <c r="AR303">
        <v>0</v>
      </c>
      <c r="AS303">
        <v>0</v>
      </c>
      <c r="AT303">
        <v>70</v>
      </c>
      <c r="AU303">
        <v>10</v>
      </c>
      <c r="AV303">
        <v>1</v>
      </c>
      <c r="AW303">
        <v>1</v>
      </c>
      <c r="AZ303">
        <v>1</v>
      </c>
      <c r="BA303">
        <v>1</v>
      </c>
      <c r="BB303">
        <v>1</v>
      </c>
      <c r="BC303">
        <v>1</v>
      </c>
      <c r="BD303" t="s">
        <v>3</v>
      </c>
      <c r="BE303" t="s">
        <v>3</v>
      </c>
      <c r="BF303" t="s">
        <v>3</v>
      </c>
      <c r="BG303" t="s">
        <v>3</v>
      </c>
      <c r="BH303">
        <v>0</v>
      </c>
      <c r="BI303">
        <v>4</v>
      </c>
      <c r="BJ303" t="s">
        <v>59</v>
      </c>
      <c r="BM303">
        <v>0</v>
      </c>
      <c r="BN303">
        <v>0</v>
      </c>
      <c r="BO303" t="s">
        <v>3</v>
      </c>
      <c r="BP303">
        <v>0</v>
      </c>
      <c r="BQ303">
        <v>1</v>
      </c>
      <c r="BR303">
        <v>0</v>
      </c>
      <c r="BS303">
        <v>1</v>
      </c>
      <c r="BT303">
        <v>1</v>
      </c>
      <c r="BU303">
        <v>1</v>
      </c>
      <c r="BV303">
        <v>1</v>
      </c>
      <c r="BW303">
        <v>1</v>
      </c>
      <c r="BX303">
        <v>1</v>
      </c>
      <c r="BY303" t="s">
        <v>3</v>
      </c>
      <c r="BZ303">
        <v>70</v>
      </c>
      <c r="CA303">
        <v>10</v>
      </c>
      <c r="CE303">
        <v>0</v>
      </c>
      <c r="CF303">
        <v>0</v>
      </c>
      <c r="CG303">
        <v>0</v>
      </c>
      <c r="CM303">
        <v>0</v>
      </c>
      <c r="CN303" t="s">
        <v>3</v>
      </c>
      <c r="CO303">
        <v>0</v>
      </c>
      <c r="CP303">
        <f t="shared" si="245"/>
        <v>20222.25</v>
      </c>
      <c r="CQ303">
        <f t="shared" si="246"/>
        <v>222479.25</v>
      </c>
      <c r="CR303">
        <f>((((ET303)*BB303-(EU303)*BS303)+AE303*BS303)*AV303)</f>
        <v>53736.02</v>
      </c>
      <c r="CS303">
        <f t="shared" si="247"/>
        <v>21215.13</v>
      </c>
      <c r="CT303">
        <f t="shared" si="248"/>
        <v>4649.3</v>
      </c>
      <c r="CU303">
        <f t="shared" si="249"/>
        <v>0</v>
      </c>
      <c r="CV303">
        <f t="shared" si="250"/>
        <v>24.84</v>
      </c>
      <c r="CW303">
        <f t="shared" si="251"/>
        <v>0</v>
      </c>
      <c r="CX303">
        <f t="shared" si="252"/>
        <v>0</v>
      </c>
      <c r="CY303">
        <f t="shared" si="253"/>
        <v>234.32499999999999</v>
      </c>
      <c r="CZ303">
        <f t="shared" si="254"/>
        <v>33.475000000000001</v>
      </c>
      <c r="DC303" t="s">
        <v>3</v>
      </c>
      <c r="DD303" t="s">
        <v>3</v>
      </c>
      <c r="DE303" t="s">
        <v>3</v>
      </c>
      <c r="DF303" t="s">
        <v>3</v>
      </c>
      <c r="DG303" t="s">
        <v>3</v>
      </c>
      <c r="DH303" t="s">
        <v>3</v>
      </c>
      <c r="DI303" t="s">
        <v>3</v>
      </c>
      <c r="DJ303" t="s">
        <v>3</v>
      </c>
      <c r="DK303" t="s">
        <v>3</v>
      </c>
      <c r="DL303" t="s">
        <v>3</v>
      </c>
      <c r="DM303" t="s">
        <v>3</v>
      </c>
      <c r="DN303">
        <v>0</v>
      </c>
      <c r="DO303">
        <v>0</v>
      </c>
      <c r="DP303">
        <v>1</v>
      </c>
      <c r="DQ303">
        <v>1</v>
      </c>
      <c r="DU303">
        <v>1007</v>
      </c>
      <c r="DV303" t="s">
        <v>22</v>
      </c>
      <c r="DW303" t="s">
        <v>22</v>
      </c>
      <c r="DX303">
        <v>100</v>
      </c>
      <c r="EE303">
        <v>40658659</v>
      </c>
      <c r="EF303">
        <v>1</v>
      </c>
      <c r="EG303" t="s">
        <v>24</v>
      </c>
      <c r="EH303">
        <v>0</v>
      </c>
      <c r="EI303" t="s">
        <v>3</v>
      </c>
      <c r="EJ303">
        <v>4</v>
      </c>
      <c r="EK303">
        <v>0</v>
      </c>
      <c r="EL303" t="s">
        <v>25</v>
      </c>
      <c r="EM303" t="s">
        <v>26</v>
      </c>
      <c r="EO303" t="s">
        <v>3</v>
      </c>
      <c r="EQ303">
        <v>0</v>
      </c>
      <c r="ER303">
        <v>280864.57</v>
      </c>
      <c r="ES303">
        <v>222479.25</v>
      </c>
      <c r="ET303">
        <v>53736.02</v>
      </c>
      <c r="EU303">
        <v>21215.13</v>
      </c>
      <c r="EV303">
        <v>4649.3</v>
      </c>
      <c r="EW303">
        <v>24.84</v>
      </c>
      <c r="EX303">
        <v>0</v>
      </c>
      <c r="EY303">
        <v>0</v>
      </c>
      <c r="FQ303">
        <v>0</v>
      </c>
      <c r="FR303">
        <f t="shared" si="255"/>
        <v>0</v>
      </c>
      <c r="FS303">
        <v>0</v>
      </c>
      <c r="FX303">
        <v>70</v>
      </c>
      <c r="FY303">
        <v>10</v>
      </c>
      <c r="GA303" t="s">
        <v>3</v>
      </c>
      <c r="GD303">
        <v>0</v>
      </c>
      <c r="GF303">
        <v>-967976254</v>
      </c>
      <c r="GG303">
        <v>2</v>
      </c>
      <c r="GH303">
        <v>1</v>
      </c>
      <c r="GI303">
        <v>-2</v>
      </c>
      <c r="GJ303">
        <v>0</v>
      </c>
      <c r="GK303">
        <f>ROUND(R303*(R12)/100,2)</f>
        <v>1649.69</v>
      </c>
      <c r="GL303">
        <f t="shared" si="256"/>
        <v>0</v>
      </c>
      <c r="GM303">
        <f>ROUND(O303+X303+Y303+GK303,2)+GX303</f>
        <v>22139.75</v>
      </c>
      <c r="GN303">
        <f>IF(OR(BI303=0,BI303=1),ROUND(O303+X303+Y303+GK303,2),0)</f>
        <v>0</v>
      </c>
      <c r="GO303">
        <f>IF(BI303=2,ROUND(O303+X303+Y303+GK303,2),0)</f>
        <v>0</v>
      </c>
      <c r="GP303">
        <f>IF(BI303=4,ROUND(O303+X303+Y303+GK303,2)+GX303,0)</f>
        <v>22139.75</v>
      </c>
      <c r="GR303">
        <v>0</v>
      </c>
      <c r="GS303">
        <v>3</v>
      </c>
      <c r="GT303">
        <v>0</v>
      </c>
      <c r="GU303" t="s">
        <v>3</v>
      </c>
      <c r="GV303">
        <f t="shared" si="257"/>
        <v>0</v>
      </c>
      <c r="GW303">
        <v>1</v>
      </c>
      <c r="GX303">
        <f t="shared" si="258"/>
        <v>0</v>
      </c>
      <c r="HA303">
        <v>0</v>
      </c>
      <c r="HB303">
        <v>0</v>
      </c>
      <c r="HC303">
        <f t="shared" si="259"/>
        <v>0</v>
      </c>
      <c r="IK303">
        <v>0</v>
      </c>
    </row>
    <row r="304" spans="1:245" x14ac:dyDescent="0.2">
      <c r="A304">
        <v>17</v>
      </c>
      <c r="B304">
        <v>1</v>
      </c>
      <c r="C304">
        <f>ROW(SmtRes!A156)</f>
        <v>156</v>
      </c>
      <c r="D304">
        <f>ROW(EtalonRes!A153)</f>
        <v>153</v>
      </c>
      <c r="E304" t="s">
        <v>243</v>
      </c>
      <c r="F304" t="s">
        <v>244</v>
      </c>
      <c r="G304" t="s">
        <v>245</v>
      </c>
      <c r="H304" t="s">
        <v>63</v>
      </c>
      <c r="I304">
        <f>ROUND(60/100,9)</f>
        <v>0.6</v>
      </c>
      <c r="J304">
        <v>0</v>
      </c>
      <c r="O304">
        <f t="shared" si="229"/>
        <v>41201.57</v>
      </c>
      <c r="P304">
        <f t="shared" si="230"/>
        <v>24660.85</v>
      </c>
      <c r="Q304">
        <f t="shared" si="231"/>
        <v>236.83</v>
      </c>
      <c r="R304">
        <f t="shared" si="232"/>
        <v>10.72</v>
      </c>
      <c r="S304">
        <f t="shared" si="233"/>
        <v>16303.89</v>
      </c>
      <c r="T304">
        <f t="shared" si="234"/>
        <v>0</v>
      </c>
      <c r="U304">
        <f t="shared" si="235"/>
        <v>80.448000000000008</v>
      </c>
      <c r="V304">
        <f t="shared" si="236"/>
        <v>0</v>
      </c>
      <c r="W304">
        <f t="shared" si="237"/>
        <v>0</v>
      </c>
      <c r="X304">
        <f t="shared" si="238"/>
        <v>11412.72</v>
      </c>
      <c r="Y304">
        <f t="shared" si="239"/>
        <v>1630.39</v>
      </c>
      <c r="AA304">
        <v>42184655</v>
      </c>
      <c r="AB304">
        <f t="shared" si="240"/>
        <v>68669.279999999999</v>
      </c>
      <c r="AC304">
        <f>ROUND((ES304),6)</f>
        <v>41101.42</v>
      </c>
      <c r="AD304">
        <f>ROUND((((ET304)-(EU304))+AE304),6)</f>
        <v>394.71</v>
      </c>
      <c r="AE304">
        <f t="shared" si="260"/>
        <v>17.86</v>
      </c>
      <c r="AF304">
        <f t="shared" si="260"/>
        <v>27173.15</v>
      </c>
      <c r="AG304">
        <f t="shared" si="242"/>
        <v>0</v>
      </c>
      <c r="AH304">
        <f t="shared" si="261"/>
        <v>134.08000000000001</v>
      </c>
      <c r="AI304">
        <f t="shared" si="261"/>
        <v>0</v>
      </c>
      <c r="AJ304">
        <f t="shared" si="244"/>
        <v>0</v>
      </c>
      <c r="AK304">
        <v>68669.279999999999</v>
      </c>
      <c r="AL304">
        <v>41101.42</v>
      </c>
      <c r="AM304">
        <v>394.71</v>
      </c>
      <c r="AN304">
        <v>17.86</v>
      </c>
      <c r="AO304">
        <v>27173.15</v>
      </c>
      <c r="AP304">
        <v>0</v>
      </c>
      <c r="AQ304">
        <v>134.08000000000001</v>
      </c>
      <c r="AR304">
        <v>0</v>
      </c>
      <c r="AS304">
        <v>0</v>
      </c>
      <c r="AT304">
        <v>70</v>
      </c>
      <c r="AU304">
        <v>10</v>
      </c>
      <c r="AV304">
        <v>1</v>
      </c>
      <c r="AW304">
        <v>1</v>
      </c>
      <c r="AZ304">
        <v>1</v>
      </c>
      <c r="BA304">
        <v>1</v>
      </c>
      <c r="BB304">
        <v>1</v>
      </c>
      <c r="BC304">
        <v>1</v>
      </c>
      <c r="BD304" t="s">
        <v>3</v>
      </c>
      <c r="BE304" t="s">
        <v>3</v>
      </c>
      <c r="BF304" t="s">
        <v>3</v>
      </c>
      <c r="BG304" t="s">
        <v>3</v>
      </c>
      <c r="BH304">
        <v>0</v>
      </c>
      <c r="BI304">
        <v>4</v>
      </c>
      <c r="BJ304" t="s">
        <v>246</v>
      </c>
      <c r="BM304">
        <v>0</v>
      </c>
      <c r="BN304">
        <v>0</v>
      </c>
      <c r="BO304" t="s">
        <v>3</v>
      </c>
      <c r="BP304">
        <v>0</v>
      </c>
      <c r="BQ304">
        <v>1</v>
      </c>
      <c r="BR304">
        <v>0</v>
      </c>
      <c r="BS304">
        <v>1</v>
      </c>
      <c r="BT304">
        <v>1</v>
      </c>
      <c r="BU304">
        <v>1</v>
      </c>
      <c r="BV304">
        <v>1</v>
      </c>
      <c r="BW304">
        <v>1</v>
      </c>
      <c r="BX304">
        <v>1</v>
      </c>
      <c r="BY304" t="s">
        <v>3</v>
      </c>
      <c r="BZ304">
        <v>70</v>
      </c>
      <c r="CA304">
        <v>10</v>
      </c>
      <c r="CE304">
        <v>0</v>
      </c>
      <c r="CF304">
        <v>0</v>
      </c>
      <c r="CG304">
        <v>0</v>
      </c>
      <c r="CM304">
        <v>0</v>
      </c>
      <c r="CN304" t="s">
        <v>3</v>
      </c>
      <c r="CO304">
        <v>0</v>
      </c>
      <c r="CP304">
        <f t="shared" si="245"/>
        <v>41201.57</v>
      </c>
      <c r="CQ304">
        <f t="shared" si="246"/>
        <v>41101.42</v>
      </c>
      <c r="CR304">
        <f>((((ET304)*BB304-(EU304)*BS304)+AE304*BS304)*AV304)</f>
        <v>394.71</v>
      </c>
      <c r="CS304">
        <f t="shared" si="247"/>
        <v>17.86</v>
      </c>
      <c r="CT304">
        <f t="shared" si="248"/>
        <v>27173.15</v>
      </c>
      <c r="CU304">
        <f t="shared" si="249"/>
        <v>0</v>
      </c>
      <c r="CV304">
        <f t="shared" si="250"/>
        <v>134.08000000000001</v>
      </c>
      <c r="CW304">
        <f t="shared" si="251"/>
        <v>0</v>
      </c>
      <c r="CX304">
        <f t="shared" si="252"/>
        <v>0</v>
      </c>
      <c r="CY304">
        <f t="shared" si="253"/>
        <v>11412.723</v>
      </c>
      <c r="CZ304">
        <f t="shared" si="254"/>
        <v>1630.3889999999999</v>
      </c>
      <c r="DC304" t="s">
        <v>3</v>
      </c>
      <c r="DD304" t="s">
        <v>3</v>
      </c>
      <c r="DE304" t="s">
        <v>3</v>
      </c>
      <c r="DF304" t="s">
        <v>3</v>
      </c>
      <c r="DG304" t="s">
        <v>3</v>
      </c>
      <c r="DH304" t="s">
        <v>3</v>
      </c>
      <c r="DI304" t="s">
        <v>3</v>
      </c>
      <c r="DJ304" t="s">
        <v>3</v>
      </c>
      <c r="DK304" t="s">
        <v>3</v>
      </c>
      <c r="DL304" t="s">
        <v>3</v>
      </c>
      <c r="DM304" t="s">
        <v>3</v>
      </c>
      <c r="DN304">
        <v>0</v>
      </c>
      <c r="DO304">
        <v>0</v>
      </c>
      <c r="DP304">
        <v>1</v>
      </c>
      <c r="DQ304">
        <v>1</v>
      </c>
      <c r="DU304">
        <v>1005</v>
      </c>
      <c r="DV304" t="s">
        <v>63</v>
      </c>
      <c r="DW304" t="s">
        <v>63</v>
      </c>
      <c r="DX304">
        <v>100</v>
      </c>
      <c r="EE304">
        <v>40658659</v>
      </c>
      <c r="EF304">
        <v>1</v>
      </c>
      <c r="EG304" t="s">
        <v>24</v>
      </c>
      <c r="EH304">
        <v>0</v>
      </c>
      <c r="EI304" t="s">
        <v>3</v>
      </c>
      <c r="EJ304">
        <v>4</v>
      </c>
      <c r="EK304">
        <v>0</v>
      </c>
      <c r="EL304" t="s">
        <v>25</v>
      </c>
      <c r="EM304" t="s">
        <v>26</v>
      </c>
      <c r="EO304" t="s">
        <v>3</v>
      </c>
      <c r="EQ304">
        <v>0</v>
      </c>
      <c r="ER304">
        <v>68669.279999999999</v>
      </c>
      <c r="ES304">
        <v>41101.42</v>
      </c>
      <c r="ET304">
        <v>394.71</v>
      </c>
      <c r="EU304">
        <v>17.86</v>
      </c>
      <c r="EV304">
        <v>27173.15</v>
      </c>
      <c r="EW304">
        <v>134.08000000000001</v>
      </c>
      <c r="EX304">
        <v>0</v>
      </c>
      <c r="EY304">
        <v>0</v>
      </c>
      <c r="FQ304">
        <v>0</v>
      </c>
      <c r="FR304">
        <f t="shared" si="255"/>
        <v>0</v>
      </c>
      <c r="FS304">
        <v>0</v>
      </c>
      <c r="FX304">
        <v>70</v>
      </c>
      <c r="FY304">
        <v>10</v>
      </c>
      <c r="GA304" t="s">
        <v>3</v>
      </c>
      <c r="GD304">
        <v>0</v>
      </c>
      <c r="GF304">
        <v>-1508134128</v>
      </c>
      <c r="GG304">
        <v>2</v>
      </c>
      <c r="GH304">
        <v>1</v>
      </c>
      <c r="GI304">
        <v>-2</v>
      </c>
      <c r="GJ304">
        <v>0</v>
      </c>
      <c r="GK304">
        <f>ROUND(R304*(R12)/100,2)</f>
        <v>11.58</v>
      </c>
      <c r="GL304">
        <f t="shared" si="256"/>
        <v>0</v>
      </c>
      <c r="GM304">
        <f>ROUND(O304+X304+Y304+GK304,2)+GX304</f>
        <v>54256.26</v>
      </c>
      <c r="GN304">
        <f>IF(OR(BI304=0,BI304=1),ROUND(O304+X304+Y304+GK304,2),0)</f>
        <v>0</v>
      </c>
      <c r="GO304">
        <f>IF(BI304=2,ROUND(O304+X304+Y304+GK304,2),0)</f>
        <v>0</v>
      </c>
      <c r="GP304">
        <f>IF(BI304=4,ROUND(O304+X304+Y304+GK304,2)+GX304,0)</f>
        <v>54256.26</v>
      </c>
      <c r="GR304">
        <v>0</v>
      </c>
      <c r="GS304">
        <v>3</v>
      </c>
      <c r="GT304">
        <v>0</v>
      </c>
      <c r="GU304" t="s">
        <v>3</v>
      </c>
      <c r="GV304">
        <f t="shared" si="257"/>
        <v>0</v>
      </c>
      <c r="GW304">
        <v>1</v>
      </c>
      <c r="GX304">
        <f t="shared" si="258"/>
        <v>0</v>
      </c>
      <c r="HA304">
        <v>0</v>
      </c>
      <c r="HB304">
        <v>0</v>
      </c>
      <c r="HC304">
        <f t="shared" si="259"/>
        <v>0</v>
      </c>
      <c r="IK304">
        <v>0</v>
      </c>
    </row>
    <row r="305" spans="1:245" x14ac:dyDescent="0.2">
      <c r="A305">
        <v>18</v>
      </c>
      <c r="B305">
        <v>1</v>
      </c>
      <c r="C305">
        <v>155</v>
      </c>
      <c r="E305" t="s">
        <v>247</v>
      </c>
      <c r="F305" t="s">
        <v>248</v>
      </c>
      <c r="G305" t="s">
        <v>249</v>
      </c>
      <c r="H305" t="s">
        <v>223</v>
      </c>
      <c r="I305">
        <f>I304*J305</f>
        <v>60</v>
      </c>
      <c r="J305">
        <v>100</v>
      </c>
      <c r="O305">
        <f t="shared" si="229"/>
        <v>39856.199999999997</v>
      </c>
      <c r="P305">
        <f t="shared" si="230"/>
        <v>39856.199999999997</v>
      </c>
      <c r="Q305">
        <f t="shared" si="231"/>
        <v>0</v>
      </c>
      <c r="R305">
        <f t="shared" si="232"/>
        <v>0</v>
      </c>
      <c r="S305">
        <f t="shared" si="233"/>
        <v>0</v>
      </c>
      <c r="T305">
        <f t="shared" si="234"/>
        <v>0</v>
      </c>
      <c r="U305">
        <f t="shared" si="235"/>
        <v>0</v>
      </c>
      <c r="V305">
        <f t="shared" si="236"/>
        <v>0</v>
      </c>
      <c r="W305">
        <f t="shared" si="237"/>
        <v>0</v>
      </c>
      <c r="X305">
        <f t="shared" si="238"/>
        <v>0</v>
      </c>
      <c r="Y305">
        <f t="shared" si="239"/>
        <v>0</v>
      </c>
      <c r="AA305">
        <v>42184655</v>
      </c>
      <c r="AB305">
        <f t="shared" si="240"/>
        <v>664.27</v>
      </c>
      <c r="AC305">
        <f>ROUND((ES305),6)</f>
        <v>664.27</v>
      </c>
      <c r="AD305">
        <f>ROUND((((ET305)-(EU305))+AE305),6)</f>
        <v>0</v>
      </c>
      <c r="AE305">
        <f t="shared" si="260"/>
        <v>0</v>
      </c>
      <c r="AF305">
        <f t="shared" si="260"/>
        <v>0</v>
      </c>
      <c r="AG305">
        <f t="shared" si="242"/>
        <v>0</v>
      </c>
      <c r="AH305">
        <f t="shared" si="261"/>
        <v>0</v>
      </c>
      <c r="AI305">
        <f t="shared" si="261"/>
        <v>0</v>
      </c>
      <c r="AJ305">
        <f t="shared" si="244"/>
        <v>0</v>
      </c>
      <c r="AK305">
        <v>664.27</v>
      </c>
      <c r="AL305">
        <v>664.27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70</v>
      </c>
      <c r="AU305">
        <v>10</v>
      </c>
      <c r="AV305">
        <v>1</v>
      </c>
      <c r="AW305">
        <v>1</v>
      </c>
      <c r="AZ305">
        <v>1</v>
      </c>
      <c r="BA305">
        <v>1</v>
      </c>
      <c r="BB305">
        <v>1</v>
      </c>
      <c r="BC305">
        <v>1</v>
      </c>
      <c r="BD305" t="s">
        <v>3</v>
      </c>
      <c r="BE305" t="s">
        <v>3</v>
      </c>
      <c r="BF305" t="s">
        <v>3</v>
      </c>
      <c r="BG305" t="s">
        <v>3</v>
      </c>
      <c r="BH305">
        <v>3</v>
      </c>
      <c r="BI305">
        <v>4</v>
      </c>
      <c r="BJ305" t="s">
        <v>250</v>
      </c>
      <c r="BM305">
        <v>0</v>
      </c>
      <c r="BN305">
        <v>0</v>
      </c>
      <c r="BO305" t="s">
        <v>3</v>
      </c>
      <c r="BP305">
        <v>0</v>
      </c>
      <c r="BQ305">
        <v>1</v>
      </c>
      <c r="BR305">
        <v>0</v>
      </c>
      <c r="BS305">
        <v>1</v>
      </c>
      <c r="BT305">
        <v>1</v>
      </c>
      <c r="BU305">
        <v>1</v>
      </c>
      <c r="BV305">
        <v>1</v>
      </c>
      <c r="BW305">
        <v>1</v>
      </c>
      <c r="BX305">
        <v>1</v>
      </c>
      <c r="BY305" t="s">
        <v>3</v>
      </c>
      <c r="BZ305">
        <v>70</v>
      </c>
      <c r="CA305">
        <v>10</v>
      </c>
      <c r="CE305">
        <v>0</v>
      </c>
      <c r="CF305">
        <v>0</v>
      </c>
      <c r="CG305">
        <v>0</v>
      </c>
      <c r="CM305">
        <v>0</v>
      </c>
      <c r="CN305" t="s">
        <v>3</v>
      </c>
      <c r="CO305">
        <v>0</v>
      </c>
      <c r="CP305">
        <f t="shared" si="245"/>
        <v>39856.199999999997</v>
      </c>
      <c r="CQ305">
        <f t="shared" si="246"/>
        <v>664.27</v>
      </c>
      <c r="CR305">
        <f>((((ET305)*BB305-(EU305)*BS305)+AE305*BS305)*AV305)</f>
        <v>0</v>
      </c>
      <c r="CS305">
        <f t="shared" si="247"/>
        <v>0</v>
      </c>
      <c r="CT305">
        <f t="shared" si="248"/>
        <v>0</v>
      </c>
      <c r="CU305">
        <f t="shared" si="249"/>
        <v>0</v>
      </c>
      <c r="CV305">
        <f t="shared" si="250"/>
        <v>0</v>
      </c>
      <c r="CW305">
        <f t="shared" si="251"/>
        <v>0</v>
      </c>
      <c r="CX305">
        <f t="shared" si="252"/>
        <v>0</v>
      </c>
      <c r="CY305">
        <f t="shared" si="253"/>
        <v>0</v>
      </c>
      <c r="CZ305">
        <f t="shared" si="254"/>
        <v>0</v>
      </c>
      <c r="DC305" t="s">
        <v>3</v>
      </c>
      <c r="DD305" t="s">
        <v>3</v>
      </c>
      <c r="DE305" t="s">
        <v>3</v>
      </c>
      <c r="DF305" t="s">
        <v>3</v>
      </c>
      <c r="DG305" t="s">
        <v>3</v>
      </c>
      <c r="DH305" t="s">
        <v>3</v>
      </c>
      <c r="DI305" t="s">
        <v>3</v>
      </c>
      <c r="DJ305" t="s">
        <v>3</v>
      </c>
      <c r="DK305" t="s">
        <v>3</v>
      </c>
      <c r="DL305" t="s">
        <v>3</v>
      </c>
      <c r="DM305" t="s">
        <v>3</v>
      </c>
      <c r="DN305">
        <v>0</v>
      </c>
      <c r="DO305">
        <v>0</v>
      </c>
      <c r="DP305">
        <v>1</v>
      </c>
      <c r="DQ305">
        <v>1</v>
      </c>
      <c r="DU305">
        <v>1005</v>
      </c>
      <c r="DV305" t="s">
        <v>223</v>
      </c>
      <c r="DW305" t="s">
        <v>223</v>
      </c>
      <c r="DX305">
        <v>1</v>
      </c>
      <c r="EE305">
        <v>40658659</v>
      </c>
      <c r="EF305">
        <v>1</v>
      </c>
      <c r="EG305" t="s">
        <v>24</v>
      </c>
      <c r="EH305">
        <v>0</v>
      </c>
      <c r="EI305" t="s">
        <v>3</v>
      </c>
      <c r="EJ305">
        <v>4</v>
      </c>
      <c r="EK305">
        <v>0</v>
      </c>
      <c r="EL305" t="s">
        <v>25</v>
      </c>
      <c r="EM305" t="s">
        <v>26</v>
      </c>
      <c r="EO305" t="s">
        <v>3</v>
      </c>
      <c r="EQ305">
        <v>0</v>
      </c>
      <c r="ER305">
        <v>664.27</v>
      </c>
      <c r="ES305">
        <v>664.27</v>
      </c>
      <c r="ET305">
        <v>0</v>
      </c>
      <c r="EU305">
        <v>0</v>
      </c>
      <c r="EV305">
        <v>0</v>
      </c>
      <c r="EW305">
        <v>0</v>
      </c>
      <c r="EX305">
        <v>0</v>
      </c>
      <c r="FQ305">
        <v>0</v>
      </c>
      <c r="FR305">
        <f t="shared" si="255"/>
        <v>0</v>
      </c>
      <c r="FS305">
        <v>0</v>
      </c>
      <c r="FX305">
        <v>70</v>
      </c>
      <c r="FY305">
        <v>10</v>
      </c>
      <c r="GA305" t="s">
        <v>3</v>
      </c>
      <c r="GD305">
        <v>0</v>
      </c>
      <c r="GF305">
        <v>-529343282</v>
      </c>
      <c r="GG305">
        <v>2</v>
      </c>
      <c r="GH305">
        <v>1</v>
      </c>
      <c r="GI305">
        <v>-2</v>
      </c>
      <c r="GJ305">
        <v>0</v>
      </c>
      <c r="GK305">
        <f>ROUND(R305*(R12)/100,2)</f>
        <v>0</v>
      </c>
      <c r="GL305">
        <f t="shared" si="256"/>
        <v>0</v>
      </c>
      <c r="GM305">
        <f>ROUND(O305+X305+Y305+GK305,2)+GX305</f>
        <v>39856.199999999997</v>
      </c>
      <c r="GN305">
        <f>IF(OR(BI305=0,BI305=1),ROUND(O305+X305+Y305+GK305,2),0)</f>
        <v>0</v>
      </c>
      <c r="GO305">
        <f>IF(BI305=2,ROUND(O305+X305+Y305+GK305,2),0)</f>
        <v>0</v>
      </c>
      <c r="GP305">
        <f>IF(BI305=4,ROUND(O305+X305+Y305+GK305,2)+GX305,0)</f>
        <v>39856.199999999997</v>
      </c>
      <c r="GR305">
        <v>0</v>
      </c>
      <c r="GS305">
        <v>3</v>
      </c>
      <c r="GT305">
        <v>0</v>
      </c>
      <c r="GU305" t="s">
        <v>3</v>
      </c>
      <c r="GV305">
        <f t="shared" si="257"/>
        <v>0</v>
      </c>
      <c r="GW305">
        <v>1</v>
      </c>
      <c r="GX305">
        <f t="shared" si="258"/>
        <v>0</v>
      </c>
      <c r="HA305">
        <v>0</v>
      </c>
      <c r="HB305">
        <v>0</v>
      </c>
      <c r="HC305">
        <f t="shared" si="259"/>
        <v>0</v>
      </c>
      <c r="IK305">
        <v>0</v>
      </c>
    </row>
    <row r="307" spans="1:245" x14ac:dyDescent="0.2">
      <c r="A307" s="2">
        <v>51</v>
      </c>
      <c r="B307" s="2">
        <f>B292</f>
        <v>1</v>
      </c>
      <c r="C307" s="2">
        <f>A292</f>
        <v>4</v>
      </c>
      <c r="D307" s="2">
        <f>ROW(A292)</f>
        <v>292</v>
      </c>
      <c r="E307" s="2"/>
      <c r="F307" s="2" t="str">
        <f>IF(F292&lt;&gt;"",F292,"")</f>
        <v>Новый раздел</v>
      </c>
      <c r="G307" s="2" t="str">
        <f>IF(G292&lt;&gt;"",G292,"")</f>
        <v>Раздел 27.1 Устройство нового пешеходного покрытия из бетонной плитки - 60 м2</v>
      </c>
      <c r="H307" s="2">
        <v>0</v>
      </c>
      <c r="I307" s="2"/>
      <c r="J307" s="2"/>
      <c r="K307" s="2"/>
      <c r="L307" s="2"/>
      <c r="M307" s="2"/>
      <c r="N307" s="2"/>
      <c r="O307" s="2">
        <f t="shared" ref="O307:T307" si="262">ROUND(AB307,2)</f>
        <v>139688.67000000001</v>
      </c>
      <c r="P307" s="2">
        <f t="shared" si="262"/>
        <v>91977.85</v>
      </c>
      <c r="Q307" s="2">
        <f t="shared" si="262"/>
        <v>29522.45</v>
      </c>
      <c r="R307" s="2">
        <f t="shared" si="262"/>
        <v>14920.05</v>
      </c>
      <c r="S307" s="2">
        <f t="shared" si="262"/>
        <v>18188.37</v>
      </c>
      <c r="T307" s="2">
        <f t="shared" si="262"/>
        <v>0</v>
      </c>
      <c r="U307" s="2">
        <f>AH307</f>
        <v>90.524298000000002</v>
      </c>
      <c r="V307" s="2">
        <f>AI307</f>
        <v>0</v>
      </c>
      <c r="W307" s="2">
        <f>ROUND(AJ307,2)</f>
        <v>0</v>
      </c>
      <c r="X307" s="2">
        <f>ROUND(AK307,2)</f>
        <v>12731.86</v>
      </c>
      <c r="Y307" s="2">
        <f>ROUND(AL307,2)</f>
        <v>1818.83</v>
      </c>
      <c r="Z307" s="2"/>
      <c r="AA307" s="2"/>
      <c r="AB307" s="2">
        <f>ROUND(SUMIF(AA296:AA305,"=42184655",O296:O305),2)</f>
        <v>139688.67000000001</v>
      </c>
      <c r="AC307" s="2">
        <f>ROUND(SUMIF(AA296:AA305,"=42184655",P296:P305),2)</f>
        <v>91977.85</v>
      </c>
      <c r="AD307" s="2">
        <f>ROUND(SUMIF(AA296:AA305,"=42184655",Q296:Q305),2)</f>
        <v>29522.45</v>
      </c>
      <c r="AE307" s="2">
        <f>ROUND(SUMIF(AA296:AA305,"=42184655",R296:R305),2)</f>
        <v>14920.05</v>
      </c>
      <c r="AF307" s="2">
        <f>ROUND(SUMIF(AA296:AA305,"=42184655",S296:S305),2)</f>
        <v>18188.37</v>
      </c>
      <c r="AG307" s="2">
        <f>ROUND(SUMIF(AA296:AA305,"=42184655",T296:T305),2)</f>
        <v>0</v>
      </c>
      <c r="AH307" s="2">
        <f>SUMIF(AA296:AA305,"=42184655",U296:U305)</f>
        <v>90.524298000000002</v>
      </c>
      <c r="AI307" s="2">
        <f>SUMIF(AA296:AA305,"=42184655",V296:V305)</f>
        <v>0</v>
      </c>
      <c r="AJ307" s="2">
        <f>ROUND(SUMIF(AA296:AA305,"=42184655",W296:W305),2)</f>
        <v>0</v>
      </c>
      <c r="AK307" s="2">
        <f>ROUND(SUMIF(AA296:AA305,"=42184655",X296:X305),2)</f>
        <v>12731.86</v>
      </c>
      <c r="AL307" s="2">
        <f>ROUND(SUMIF(AA296:AA305,"=42184655",Y296:Y305),2)</f>
        <v>1818.83</v>
      </c>
      <c r="AM307" s="2"/>
      <c r="AN307" s="2"/>
      <c r="AO307" s="2">
        <f t="shared" ref="AO307:BC307" si="263">ROUND(BX307,2)</f>
        <v>0</v>
      </c>
      <c r="AP307" s="2">
        <f t="shared" si="263"/>
        <v>0</v>
      </c>
      <c r="AQ307" s="2">
        <f t="shared" si="263"/>
        <v>0</v>
      </c>
      <c r="AR307" s="2">
        <f t="shared" si="263"/>
        <v>157179.47</v>
      </c>
      <c r="AS307" s="2">
        <f t="shared" si="263"/>
        <v>3622.84</v>
      </c>
      <c r="AT307" s="2">
        <f t="shared" si="263"/>
        <v>0</v>
      </c>
      <c r="AU307" s="2">
        <f t="shared" si="263"/>
        <v>153556.63</v>
      </c>
      <c r="AV307" s="2">
        <f t="shared" si="263"/>
        <v>91977.85</v>
      </c>
      <c r="AW307" s="2">
        <f t="shared" si="263"/>
        <v>91977.85</v>
      </c>
      <c r="AX307" s="2">
        <f t="shared" si="263"/>
        <v>0</v>
      </c>
      <c r="AY307" s="2">
        <f t="shared" si="263"/>
        <v>91977.85</v>
      </c>
      <c r="AZ307" s="2">
        <f t="shared" si="263"/>
        <v>0</v>
      </c>
      <c r="BA307" s="2">
        <f t="shared" si="263"/>
        <v>0</v>
      </c>
      <c r="BB307" s="2">
        <f t="shared" si="263"/>
        <v>0</v>
      </c>
      <c r="BC307" s="2">
        <f t="shared" si="263"/>
        <v>0</v>
      </c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>
        <f>ROUND(SUMIF(AA296:AA305,"=42184655",FQ296:FQ305),2)</f>
        <v>0</v>
      </c>
      <c r="BY307" s="2">
        <f>ROUND(SUMIF(AA296:AA305,"=42184655",FR296:FR305),2)</f>
        <v>0</v>
      </c>
      <c r="BZ307" s="2">
        <f>ROUND(SUMIF(AA296:AA305,"=42184655",GL296:GL305),2)</f>
        <v>0</v>
      </c>
      <c r="CA307" s="2">
        <f>ROUND(SUMIF(AA296:AA305,"=42184655",GM296:GM305),2)</f>
        <v>157179.47</v>
      </c>
      <c r="CB307" s="2">
        <f>ROUND(SUMIF(AA296:AA305,"=42184655",GN296:GN305),2)</f>
        <v>3622.84</v>
      </c>
      <c r="CC307" s="2">
        <f>ROUND(SUMIF(AA296:AA305,"=42184655",GO296:GO305),2)</f>
        <v>0</v>
      </c>
      <c r="CD307" s="2">
        <f>ROUND(SUMIF(AA296:AA305,"=42184655",GP296:GP305),2)</f>
        <v>153556.63</v>
      </c>
      <c r="CE307" s="2">
        <f>AC307-BX307</f>
        <v>91977.85</v>
      </c>
      <c r="CF307" s="2">
        <f>AC307-BY307</f>
        <v>91977.85</v>
      </c>
      <c r="CG307" s="2">
        <f>BX307-BZ307</f>
        <v>0</v>
      </c>
      <c r="CH307" s="2">
        <f>AC307-BX307-BY307+BZ307</f>
        <v>91977.85</v>
      </c>
      <c r="CI307" s="2">
        <f>BY307-BZ307</f>
        <v>0</v>
      </c>
      <c r="CJ307" s="2">
        <f>ROUND(SUMIF(AA296:AA305,"=42184655",GX296:GX305),2)</f>
        <v>0</v>
      </c>
      <c r="CK307" s="2">
        <f>ROUND(SUMIF(AA296:AA305,"=42184655",GY296:GY305),2)</f>
        <v>0</v>
      </c>
      <c r="CL307" s="2">
        <f>ROUND(SUMIF(AA296:AA305,"=42184655",GZ296:GZ305),2)</f>
        <v>0</v>
      </c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>
        <v>0</v>
      </c>
    </row>
    <row r="309" spans="1:245" x14ac:dyDescent="0.2">
      <c r="A309" s="4">
        <v>50</v>
      </c>
      <c r="B309" s="4">
        <v>0</v>
      </c>
      <c r="C309" s="4">
        <v>0</v>
      </c>
      <c r="D309" s="4">
        <v>1</v>
      </c>
      <c r="E309" s="4">
        <v>201</v>
      </c>
      <c r="F309" s="4">
        <f>ROUND(Source!O307,O309)</f>
        <v>139688.67000000001</v>
      </c>
      <c r="G309" s="4" t="s">
        <v>71</v>
      </c>
      <c r="H309" s="4" t="s">
        <v>72</v>
      </c>
      <c r="I309" s="4"/>
      <c r="J309" s="4"/>
      <c r="K309" s="4">
        <v>201</v>
      </c>
      <c r="L309" s="4">
        <v>1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/>
    </row>
    <row r="310" spans="1:245" x14ac:dyDescent="0.2">
      <c r="A310" s="4">
        <v>50</v>
      </c>
      <c r="B310" s="4">
        <v>0</v>
      </c>
      <c r="C310" s="4">
        <v>0</v>
      </c>
      <c r="D310" s="4">
        <v>1</v>
      </c>
      <c r="E310" s="4">
        <v>202</v>
      </c>
      <c r="F310" s="4">
        <f>ROUND(Source!P307,O310)</f>
        <v>91977.85</v>
      </c>
      <c r="G310" s="4" t="s">
        <v>73</v>
      </c>
      <c r="H310" s="4" t="s">
        <v>74</v>
      </c>
      <c r="I310" s="4"/>
      <c r="J310" s="4"/>
      <c r="K310" s="4">
        <v>202</v>
      </c>
      <c r="L310" s="4">
        <v>2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245" x14ac:dyDescent="0.2">
      <c r="A311" s="4">
        <v>50</v>
      </c>
      <c r="B311" s="4">
        <v>0</v>
      </c>
      <c r="C311" s="4">
        <v>0</v>
      </c>
      <c r="D311" s="4">
        <v>1</v>
      </c>
      <c r="E311" s="4">
        <v>222</v>
      </c>
      <c r="F311" s="4">
        <f>ROUND(Source!AO307,O311)</f>
        <v>0</v>
      </c>
      <c r="G311" s="4" t="s">
        <v>75</v>
      </c>
      <c r="H311" s="4" t="s">
        <v>76</v>
      </c>
      <c r="I311" s="4"/>
      <c r="J311" s="4"/>
      <c r="K311" s="4">
        <v>222</v>
      </c>
      <c r="L311" s="4">
        <v>3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245" x14ac:dyDescent="0.2">
      <c r="A312" s="4">
        <v>50</v>
      </c>
      <c r="B312" s="4">
        <v>0</v>
      </c>
      <c r="C312" s="4">
        <v>0</v>
      </c>
      <c r="D312" s="4">
        <v>1</v>
      </c>
      <c r="E312" s="4">
        <v>225</v>
      </c>
      <c r="F312" s="4">
        <f>ROUND(Source!AV307,O312)</f>
        <v>91977.85</v>
      </c>
      <c r="G312" s="4" t="s">
        <v>77</v>
      </c>
      <c r="H312" s="4" t="s">
        <v>78</v>
      </c>
      <c r="I312" s="4"/>
      <c r="J312" s="4"/>
      <c r="K312" s="4">
        <v>225</v>
      </c>
      <c r="L312" s="4">
        <v>4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245" x14ac:dyDescent="0.2">
      <c r="A313" s="4">
        <v>50</v>
      </c>
      <c r="B313" s="4">
        <v>0</v>
      </c>
      <c r="C313" s="4">
        <v>0</v>
      </c>
      <c r="D313" s="4">
        <v>1</v>
      </c>
      <c r="E313" s="4">
        <v>226</v>
      </c>
      <c r="F313" s="4">
        <f>ROUND(Source!AW307,O313)</f>
        <v>91977.85</v>
      </c>
      <c r="G313" s="4" t="s">
        <v>79</v>
      </c>
      <c r="H313" s="4" t="s">
        <v>80</v>
      </c>
      <c r="I313" s="4"/>
      <c r="J313" s="4"/>
      <c r="K313" s="4">
        <v>226</v>
      </c>
      <c r="L313" s="4">
        <v>5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/>
    </row>
    <row r="314" spans="1:245" x14ac:dyDescent="0.2">
      <c r="A314" s="4">
        <v>50</v>
      </c>
      <c r="B314" s="4">
        <v>0</v>
      </c>
      <c r="C314" s="4">
        <v>0</v>
      </c>
      <c r="D314" s="4">
        <v>1</v>
      </c>
      <c r="E314" s="4">
        <v>227</v>
      </c>
      <c r="F314" s="4">
        <f>ROUND(Source!AX307,O314)</f>
        <v>0</v>
      </c>
      <c r="G314" s="4" t="s">
        <v>81</v>
      </c>
      <c r="H314" s="4" t="s">
        <v>82</v>
      </c>
      <c r="I314" s="4"/>
      <c r="J314" s="4"/>
      <c r="K314" s="4">
        <v>227</v>
      </c>
      <c r="L314" s="4">
        <v>6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/>
    </row>
    <row r="315" spans="1:245" x14ac:dyDescent="0.2">
      <c r="A315" s="4">
        <v>50</v>
      </c>
      <c r="B315" s="4">
        <v>0</v>
      </c>
      <c r="C315" s="4">
        <v>0</v>
      </c>
      <c r="D315" s="4">
        <v>1</v>
      </c>
      <c r="E315" s="4">
        <v>228</v>
      </c>
      <c r="F315" s="4">
        <f>ROUND(Source!AY307,O315)</f>
        <v>91977.85</v>
      </c>
      <c r="G315" s="4" t="s">
        <v>83</v>
      </c>
      <c r="H315" s="4" t="s">
        <v>84</v>
      </c>
      <c r="I315" s="4"/>
      <c r="J315" s="4"/>
      <c r="K315" s="4">
        <v>228</v>
      </c>
      <c r="L315" s="4">
        <v>7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245" x14ac:dyDescent="0.2">
      <c r="A316" s="4">
        <v>50</v>
      </c>
      <c r="B316" s="4">
        <v>0</v>
      </c>
      <c r="C316" s="4">
        <v>0</v>
      </c>
      <c r="D316" s="4">
        <v>1</v>
      </c>
      <c r="E316" s="4">
        <v>216</v>
      </c>
      <c r="F316" s="4">
        <f>ROUND(Source!AP307,O316)</f>
        <v>0</v>
      </c>
      <c r="G316" s="4" t="s">
        <v>85</v>
      </c>
      <c r="H316" s="4" t="s">
        <v>86</v>
      </c>
      <c r="I316" s="4"/>
      <c r="J316" s="4"/>
      <c r="K316" s="4">
        <v>216</v>
      </c>
      <c r="L316" s="4">
        <v>8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/>
    </row>
    <row r="317" spans="1:245" x14ac:dyDescent="0.2">
      <c r="A317" s="4">
        <v>50</v>
      </c>
      <c r="B317" s="4">
        <v>0</v>
      </c>
      <c r="C317" s="4">
        <v>0</v>
      </c>
      <c r="D317" s="4">
        <v>1</v>
      </c>
      <c r="E317" s="4">
        <v>223</v>
      </c>
      <c r="F317" s="4">
        <f>ROUND(Source!AQ307,O317)</f>
        <v>0</v>
      </c>
      <c r="G317" s="4" t="s">
        <v>87</v>
      </c>
      <c r="H317" s="4" t="s">
        <v>88</v>
      </c>
      <c r="I317" s="4"/>
      <c r="J317" s="4"/>
      <c r="K317" s="4">
        <v>223</v>
      </c>
      <c r="L317" s="4">
        <v>9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/>
    </row>
    <row r="318" spans="1:245" x14ac:dyDescent="0.2">
      <c r="A318" s="4">
        <v>50</v>
      </c>
      <c r="B318" s="4">
        <v>0</v>
      </c>
      <c r="C318" s="4">
        <v>0</v>
      </c>
      <c r="D318" s="4">
        <v>1</v>
      </c>
      <c r="E318" s="4">
        <v>229</v>
      </c>
      <c r="F318" s="4">
        <f>ROUND(Source!AZ307,O318)</f>
        <v>0</v>
      </c>
      <c r="G318" s="4" t="s">
        <v>89</v>
      </c>
      <c r="H318" s="4" t="s">
        <v>90</v>
      </c>
      <c r="I318" s="4"/>
      <c r="J318" s="4"/>
      <c r="K318" s="4">
        <v>229</v>
      </c>
      <c r="L318" s="4">
        <v>10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19" spans="1:245" x14ac:dyDescent="0.2">
      <c r="A319" s="4">
        <v>50</v>
      </c>
      <c r="B319" s="4">
        <v>0</v>
      </c>
      <c r="C319" s="4">
        <v>0</v>
      </c>
      <c r="D319" s="4">
        <v>1</v>
      </c>
      <c r="E319" s="4">
        <v>203</v>
      </c>
      <c r="F319" s="4">
        <f>ROUND(Source!Q307,O319)</f>
        <v>29522.45</v>
      </c>
      <c r="G319" s="4" t="s">
        <v>91</v>
      </c>
      <c r="H319" s="4" t="s">
        <v>92</v>
      </c>
      <c r="I319" s="4"/>
      <c r="J319" s="4"/>
      <c r="K319" s="4">
        <v>203</v>
      </c>
      <c r="L319" s="4">
        <v>11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/>
    </row>
    <row r="320" spans="1:245" x14ac:dyDescent="0.2">
      <c r="A320" s="4">
        <v>50</v>
      </c>
      <c r="B320" s="4">
        <v>0</v>
      </c>
      <c r="C320" s="4">
        <v>0</v>
      </c>
      <c r="D320" s="4">
        <v>1</v>
      </c>
      <c r="E320" s="4">
        <v>231</v>
      </c>
      <c r="F320" s="4">
        <f>ROUND(Source!BB307,O320)</f>
        <v>0</v>
      </c>
      <c r="G320" s="4" t="s">
        <v>93</v>
      </c>
      <c r="H320" s="4" t="s">
        <v>94</v>
      </c>
      <c r="I320" s="4"/>
      <c r="J320" s="4"/>
      <c r="K320" s="4">
        <v>231</v>
      </c>
      <c r="L320" s="4">
        <v>12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/>
    </row>
    <row r="321" spans="1:23" x14ac:dyDescent="0.2">
      <c r="A321" s="4">
        <v>50</v>
      </c>
      <c r="B321" s="4">
        <v>0</v>
      </c>
      <c r="C321" s="4">
        <v>0</v>
      </c>
      <c r="D321" s="4">
        <v>1</v>
      </c>
      <c r="E321" s="4">
        <v>204</v>
      </c>
      <c r="F321" s="4">
        <f>ROUND(Source!R307,O321)</f>
        <v>14920.05</v>
      </c>
      <c r="G321" s="4" t="s">
        <v>95</v>
      </c>
      <c r="H321" s="4" t="s">
        <v>96</v>
      </c>
      <c r="I321" s="4"/>
      <c r="J321" s="4"/>
      <c r="K321" s="4">
        <v>204</v>
      </c>
      <c r="L321" s="4">
        <v>13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/>
    </row>
    <row r="322" spans="1:23" x14ac:dyDescent="0.2">
      <c r="A322" s="4">
        <v>50</v>
      </c>
      <c r="B322" s="4">
        <v>0</v>
      </c>
      <c r="C322" s="4">
        <v>0</v>
      </c>
      <c r="D322" s="4">
        <v>1</v>
      </c>
      <c r="E322" s="4">
        <v>205</v>
      </c>
      <c r="F322" s="4">
        <f>ROUND(Source!S307,O322)</f>
        <v>18188.37</v>
      </c>
      <c r="G322" s="4" t="s">
        <v>97</v>
      </c>
      <c r="H322" s="4" t="s">
        <v>98</v>
      </c>
      <c r="I322" s="4"/>
      <c r="J322" s="4"/>
      <c r="K322" s="4">
        <v>205</v>
      </c>
      <c r="L322" s="4">
        <v>14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/>
    </row>
    <row r="323" spans="1:23" x14ac:dyDescent="0.2">
      <c r="A323" s="4">
        <v>50</v>
      </c>
      <c r="B323" s="4">
        <v>0</v>
      </c>
      <c r="C323" s="4">
        <v>0</v>
      </c>
      <c r="D323" s="4">
        <v>1</v>
      </c>
      <c r="E323" s="4">
        <v>232</v>
      </c>
      <c r="F323" s="4">
        <f>ROUND(Source!BC307,O323)</f>
        <v>0</v>
      </c>
      <c r="G323" s="4" t="s">
        <v>99</v>
      </c>
      <c r="H323" s="4" t="s">
        <v>100</v>
      </c>
      <c r="I323" s="4"/>
      <c r="J323" s="4"/>
      <c r="K323" s="4">
        <v>232</v>
      </c>
      <c r="L323" s="4">
        <v>15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/>
    </row>
    <row r="324" spans="1:23" x14ac:dyDescent="0.2">
      <c r="A324" s="4">
        <v>50</v>
      </c>
      <c r="B324" s="4">
        <v>0</v>
      </c>
      <c r="C324" s="4">
        <v>0</v>
      </c>
      <c r="D324" s="4">
        <v>1</v>
      </c>
      <c r="E324" s="4">
        <v>214</v>
      </c>
      <c r="F324" s="4">
        <f>ROUND(Source!AS307,O324)</f>
        <v>3622.84</v>
      </c>
      <c r="G324" s="4" t="s">
        <v>101</v>
      </c>
      <c r="H324" s="4" t="s">
        <v>102</v>
      </c>
      <c r="I324" s="4"/>
      <c r="J324" s="4"/>
      <c r="K324" s="4">
        <v>214</v>
      </c>
      <c r="L324" s="4">
        <v>16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/>
    </row>
    <row r="325" spans="1:23" x14ac:dyDescent="0.2">
      <c r="A325" s="4">
        <v>50</v>
      </c>
      <c r="B325" s="4">
        <v>0</v>
      </c>
      <c r="C325" s="4">
        <v>0</v>
      </c>
      <c r="D325" s="4">
        <v>1</v>
      </c>
      <c r="E325" s="4">
        <v>215</v>
      </c>
      <c r="F325" s="4">
        <f>ROUND(Source!AT307,O325)</f>
        <v>0</v>
      </c>
      <c r="G325" s="4" t="s">
        <v>103</v>
      </c>
      <c r="H325" s="4" t="s">
        <v>104</v>
      </c>
      <c r="I325" s="4"/>
      <c r="J325" s="4"/>
      <c r="K325" s="4">
        <v>215</v>
      </c>
      <c r="L325" s="4">
        <v>17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/>
    </row>
    <row r="326" spans="1:23" x14ac:dyDescent="0.2">
      <c r="A326" s="4">
        <v>50</v>
      </c>
      <c r="B326" s="4">
        <v>0</v>
      </c>
      <c r="C326" s="4">
        <v>0</v>
      </c>
      <c r="D326" s="4">
        <v>1</v>
      </c>
      <c r="E326" s="4">
        <v>217</v>
      </c>
      <c r="F326" s="4">
        <f>ROUND(Source!AU307,O326)</f>
        <v>153556.63</v>
      </c>
      <c r="G326" s="4" t="s">
        <v>105</v>
      </c>
      <c r="H326" s="4" t="s">
        <v>106</v>
      </c>
      <c r="I326" s="4"/>
      <c r="J326" s="4"/>
      <c r="K326" s="4">
        <v>217</v>
      </c>
      <c r="L326" s="4">
        <v>18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/>
    </row>
    <row r="327" spans="1:23" x14ac:dyDescent="0.2">
      <c r="A327" s="4">
        <v>50</v>
      </c>
      <c r="B327" s="4">
        <v>0</v>
      </c>
      <c r="C327" s="4">
        <v>0</v>
      </c>
      <c r="D327" s="4">
        <v>1</v>
      </c>
      <c r="E327" s="4">
        <v>230</v>
      </c>
      <c r="F327" s="4">
        <f>ROUND(Source!BA307,O327)</f>
        <v>0</v>
      </c>
      <c r="G327" s="4" t="s">
        <v>107</v>
      </c>
      <c r="H327" s="4" t="s">
        <v>108</v>
      </c>
      <c r="I327" s="4"/>
      <c r="J327" s="4"/>
      <c r="K327" s="4">
        <v>230</v>
      </c>
      <c r="L327" s="4">
        <v>19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/>
    </row>
    <row r="328" spans="1:23" x14ac:dyDescent="0.2">
      <c r="A328" s="4">
        <v>50</v>
      </c>
      <c r="B328" s="4">
        <v>0</v>
      </c>
      <c r="C328" s="4">
        <v>0</v>
      </c>
      <c r="D328" s="4">
        <v>1</v>
      </c>
      <c r="E328" s="4">
        <v>206</v>
      </c>
      <c r="F328" s="4">
        <f>ROUND(Source!T307,O328)</f>
        <v>0</v>
      </c>
      <c r="G328" s="4" t="s">
        <v>109</v>
      </c>
      <c r="H328" s="4" t="s">
        <v>110</v>
      </c>
      <c r="I328" s="4"/>
      <c r="J328" s="4"/>
      <c r="K328" s="4">
        <v>206</v>
      </c>
      <c r="L328" s="4">
        <v>20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/>
    </row>
    <row r="329" spans="1:23" x14ac:dyDescent="0.2">
      <c r="A329" s="4">
        <v>50</v>
      </c>
      <c r="B329" s="4">
        <v>0</v>
      </c>
      <c r="C329" s="4">
        <v>0</v>
      </c>
      <c r="D329" s="4">
        <v>1</v>
      </c>
      <c r="E329" s="4">
        <v>207</v>
      </c>
      <c r="F329" s="4">
        <f>Source!U307</f>
        <v>90.524298000000002</v>
      </c>
      <c r="G329" s="4" t="s">
        <v>111</v>
      </c>
      <c r="H329" s="4" t="s">
        <v>112</v>
      </c>
      <c r="I329" s="4"/>
      <c r="J329" s="4"/>
      <c r="K329" s="4">
        <v>207</v>
      </c>
      <c r="L329" s="4">
        <v>21</v>
      </c>
      <c r="M329" s="4">
        <v>3</v>
      </c>
      <c r="N329" s="4" t="s">
        <v>3</v>
      </c>
      <c r="O329" s="4">
        <v>-1</v>
      </c>
      <c r="P329" s="4"/>
      <c r="Q329" s="4"/>
      <c r="R329" s="4"/>
      <c r="S329" s="4"/>
      <c r="T329" s="4"/>
      <c r="U329" s="4"/>
      <c r="V329" s="4"/>
      <c r="W329" s="4"/>
    </row>
    <row r="330" spans="1:23" x14ac:dyDescent="0.2">
      <c r="A330" s="4">
        <v>50</v>
      </c>
      <c r="B330" s="4">
        <v>0</v>
      </c>
      <c r="C330" s="4">
        <v>0</v>
      </c>
      <c r="D330" s="4">
        <v>1</v>
      </c>
      <c r="E330" s="4">
        <v>208</v>
      </c>
      <c r="F330" s="4">
        <f>Source!V307</f>
        <v>0</v>
      </c>
      <c r="G330" s="4" t="s">
        <v>113</v>
      </c>
      <c r="H330" s="4" t="s">
        <v>114</v>
      </c>
      <c r="I330" s="4"/>
      <c r="J330" s="4"/>
      <c r="K330" s="4">
        <v>208</v>
      </c>
      <c r="L330" s="4">
        <v>22</v>
      </c>
      <c r="M330" s="4">
        <v>3</v>
      </c>
      <c r="N330" s="4" t="s">
        <v>3</v>
      </c>
      <c r="O330" s="4">
        <v>-1</v>
      </c>
      <c r="P330" s="4"/>
      <c r="Q330" s="4"/>
      <c r="R330" s="4"/>
      <c r="S330" s="4"/>
      <c r="T330" s="4"/>
      <c r="U330" s="4"/>
      <c r="V330" s="4"/>
      <c r="W330" s="4"/>
    </row>
    <row r="331" spans="1:23" x14ac:dyDescent="0.2">
      <c r="A331" s="4">
        <v>50</v>
      </c>
      <c r="B331" s="4">
        <v>0</v>
      </c>
      <c r="C331" s="4">
        <v>0</v>
      </c>
      <c r="D331" s="4">
        <v>1</v>
      </c>
      <c r="E331" s="4">
        <v>209</v>
      </c>
      <c r="F331" s="4">
        <f>ROUND(Source!W307,O331)</f>
        <v>0</v>
      </c>
      <c r="G331" s="4" t="s">
        <v>115</v>
      </c>
      <c r="H331" s="4" t="s">
        <v>116</v>
      </c>
      <c r="I331" s="4"/>
      <c r="J331" s="4"/>
      <c r="K331" s="4">
        <v>209</v>
      </c>
      <c r="L331" s="4">
        <v>23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3" x14ac:dyDescent="0.2">
      <c r="A332" s="4">
        <v>50</v>
      </c>
      <c r="B332" s="4">
        <v>0</v>
      </c>
      <c r="C332" s="4">
        <v>0</v>
      </c>
      <c r="D332" s="4">
        <v>1</v>
      </c>
      <c r="E332" s="4">
        <v>210</v>
      </c>
      <c r="F332" s="4">
        <f>ROUND(Source!X307,O332)</f>
        <v>12731.86</v>
      </c>
      <c r="G332" s="4" t="s">
        <v>117</v>
      </c>
      <c r="H332" s="4" t="s">
        <v>118</v>
      </c>
      <c r="I332" s="4"/>
      <c r="J332" s="4"/>
      <c r="K332" s="4">
        <v>210</v>
      </c>
      <c r="L332" s="4">
        <v>24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3" x14ac:dyDescent="0.2">
      <c r="A333" s="4">
        <v>50</v>
      </c>
      <c r="B333" s="4">
        <v>0</v>
      </c>
      <c r="C333" s="4">
        <v>0</v>
      </c>
      <c r="D333" s="4">
        <v>1</v>
      </c>
      <c r="E333" s="4">
        <v>211</v>
      </c>
      <c r="F333" s="4">
        <f>ROUND(Source!Y307,O333)</f>
        <v>1818.83</v>
      </c>
      <c r="G333" s="4" t="s">
        <v>119</v>
      </c>
      <c r="H333" s="4" t="s">
        <v>120</v>
      </c>
      <c r="I333" s="4"/>
      <c r="J333" s="4"/>
      <c r="K333" s="4">
        <v>211</v>
      </c>
      <c r="L333" s="4">
        <v>25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3" x14ac:dyDescent="0.2">
      <c r="A334" s="4">
        <v>50</v>
      </c>
      <c r="B334" s="4">
        <v>0</v>
      </c>
      <c r="C334" s="4">
        <v>0</v>
      </c>
      <c r="D334" s="4">
        <v>1</v>
      </c>
      <c r="E334" s="4">
        <v>224</v>
      </c>
      <c r="F334" s="4">
        <f>ROUND(Source!AR307,O334)</f>
        <v>157179.47</v>
      </c>
      <c r="G334" s="4" t="s">
        <v>121</v>
      </c>
      <c r="H334" s="4" t="s">
        <v>122</v>
      </c>
      <c r="I334" s="4"/>
      <c r="J334" s="4"/>
      <c r="K334" s="4">
        <v>224</v>
      </c>
      <c r="L334" s="4">
        <v>26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3" x14ac:dyDescent="0.2">
      <c r="A335" s="4">
        <v>50</v>
      </c>
      <c r="B335" s="4">
        <v>1</v>
      </c>
      <c r="C335" s="4">
        <v>0</v>
      </c>
      <c r="D335" s="4">
        <v>2</v>
      </c>
      <c r="E335" s="4">
        <v>0</v>
      </c>
      <c r="F335" s="4">
        <f>ROUND(F334,O335)</f>
        <v>157179.47</v>
      </c>
      <c r="G335" s="4" t="s">
        <v>19</v>
      </c>
      <c r="H335" s="4" t="s">
        <v>123</v>
      </c>
      <c r="I335" s="4"/>
      <c r="J335" s="4"/>
      <c r="K335" s="4">
        <v>212</v>
      </c>
      <c r="L335" s="4">
        <v>27</v>
      </c>
      <c r="M335" s="4">
        <v>0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/>
    </row>
    <row r="336" spans="1:23" x14ac:dyDescent="0.2">
      <c r="A336" s="4">
        <v>50</v>
      </c>
      <c r="B336" s="4">
        <v>1</v>
      </c>
      <c r="C336" s="4">
        <v>0</v>
      </c>
      <c r="D336" s="4">
        <v>2</v>
      </c>
      <c r="E336" s="4">
        <v>0</v>
      </c>
      <c r="F336" s="4">
        <f>ROUND(F335*0.2,O336)</f>
        <v>31435.89</v>
      </c>
      <c r="G336" s="4" t="s">
        <v>27</v>
      </c>
      <c r="H336" s="4" t="s">
        <v>124</v>
      </c>
      <c r="I336" s="4"/>
      <c r="J336" s="4"/>
      <c r="K336" s="4">
        <v>212</v>
      </c>
      <c r="L336" s="4">
        <v>28</v>
      </c>
      <c r="M336" s="4">
        <v>0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/>
    </row>
    <row r="337" spans="1:245" x14ac:dyDescent="0.2">
      <c r="A337" s="4">
        <v>50</v>
      </c>
      <c r="B337" s="4">
        <v>1</v>
      </c>
      <c r="C337" s="4">
        <v>0</v>
      </c>
      <c r="D337" s="4">
        <v>2</v>
      </c>
      <c r="E337" s="4">
        <v>0</v>
      </c>
      <c r="F337" s="4">
        <f>ROUND(F335+F336,O337)</f>
        <v>188615.36</v>
      </c>
      <c r="G337" s="4" t="s">
        <v>31</v>
      </c>
      <c r="H337" s="4" t="s">
        <v>121</v>
      </c>
      <c r="I337" s="4"/>
      <c r="J337" s="4"/>
      <c r="K337" s="4">
        <v>212</v>
      </c>
      <c r="L337" s="4">
        <v>29</v>
      </c>
      <c r="M337" s="4">
        <v>0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/>
    </row>
    <row r="339" spans="1:245" x14ac:dyDescent="0.2">
      <c r="A339" s="1">
        <v>4</v>
      </c>
      <c r="B339" s="1">
        <v>1</v>
      </c>
      <c r="C339" s="1"/>
      <c r="D339" s="1">
        <f>ROW(A353)</f>
        <v>353</v>
      </c>
      <c r="E339" s="1"/>
      <c r="F339" s="1" t="s">
        <v>17</v>
      </c>
      <c r="G339" s="1" t="s">
        <v>531</v>
      </c>
      <c r="H339" s="1" t="s">
        <v>3</v>
      </c>
      <c r="I339" s="1">
        <v>0</v>
      </c>
      <c r="J339" s="1"/>
      <c r="K339" s="1">
        <v>0</v>
      </c>
      <c r="L339" s="1"/>
      <c r="M339" s="1"/>
      <c r="N339" s="1"/>
      <c r="O339" s="1"/>
      <c r="P339" s="1"/>
      <c r="Q339" s="1"/>
      <c r="R339" s="1"/>
      <c r="S339" s="1"/>
      <c r="T339" s="1"/>
      <c r="U339" s="1" t="s">
        <v>3</v>
      </c>
      <c r="V339" s="1">
        <v>0</v>
      </c>
      <c r="W339" s="1"/>
      <c r="X339" s="1"/>
      <c r="Y339" s="1"/>
      <c r="Z339" s="1"/>
      <c r="AA339" s="1"/>
      <c r="AB339" s="1" t="s">
        <v>3</v>
      </c>
      <c r="AC339" s="1" t="s">
        <v>3</v>
      </c>
      <c r="AD339" s="1" t="s">
        <v>3</v>
      </c>
      <c r="AE339" s="1" t="s">
        <v>3</v>
      </c>
      <c r="AF339" s="1" t="s">
        <v>3</v>
      </c>
      <c r="AG339" s="1" t="s">
        <v>3</v>
      </c>
      <c r="AH339" s="1"/>
      <c r="AI339" s="1"/>
      <c r="AJ339" s="1"/>
      <c r="AK339" s="1"/>
      <c r="AL339" s="1"/>
      <c r="AM339" s="1"/>
      <c r="AN339" s="1"/>
      <c r="AO339" s="1"/>
      <c r="AP339" s="1" t="s">
        <v>3</v>
      </c>
      <c r="AQ339" s="1" t="s">
        <v>3</v>
      </c>
      <c r="AR339" s="1" t="s">
        <v>3</v>
      </c>
      <c r="AS339" s="1"/>
      <c r="AT339" s="1"/>
      <c r="AU339" s="1"/>
      <c r="AV339" s="1"/>
      <c r="AW339" s="1"/>
      <c r="AX339" s="1"/>
      <c r="AY339" s="1"/>
      <c r="AZ339" s="1" t="s">
        <v>3</v>
      </c>
      <c r="BA339" s="1"/>
      <c r="BB339" s="1" t="s">
        <v>3</v>
      </c>
      <c r="BC339" s="1" t="s">
        <v>3</v>
      </c>
      <c r="BD339" s="1" t="s">
        <v>3</v>
      </c>
      <c r="BE339" s="1" t="s">
        <v>3</v>
      </c>
      <c r="BF339" s="1" t="s">
        <v>3</v>
      </c>
      <c r="BG339" s="1" t="s">
        <v>3</v>
      </c>
      <c r="BH339" s="1" t="s">
        <v>3</v>
      </c>
      <c r="BI339" s="1" t="s">
        <v>3</v>
      </c>
      <c r="BJ339" s="1" t="s">
        <v>3</v>
      </c>
      <c r="BK339" s="1" t="s">
        <v>3</v>
      </c>
      <c r="BL339" s="1" t="s">
        <v>3</v>
      </c>
      <c r="BM339" s="1" t="s">
        <v>3</v>
      </c>
      <c r="BN339" s="1" t="s">
        <v>3</v>
      </c>
      <c r="BO339" s="1" t="s">
        <v>3</v>
      </c>
      <c r="BP339" s="1" t="s">
        <v>3</v>
      </c>
      <c r="BQ339" s="1"/>
      <c r="BR339" s="1"/>
      <c r="BS339" s="1"/>
      <c r="BT339" s="1"/>
      <c r="BU339" s="1"/>
      <c r="BV339" s="1"/>
      <c r="BW339" s="1"/>
      <c r="BX339" s="1">
        <v>0</v>
      </c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>
        <v>0</v>
      </c>
    </row>
    <row r="341" spans="1:245" x14ac:dyDescent="0.2">
      <c r="A341" s="2">
        <v>52</v>
      </c>
      <c r="B341" s="2">
        <f t="shared" ref="B341:G341" si="264">B353</f>
        <v>1</v>
      </c>
      <c r="C341" s="2">
        <f t="shared" si="264"/>
        <v>4</v>
      </c>
      <c r="D341" s="2">
        <f t="shared" si="264"/>
        <v>339</v>
      </c>
      <c r="E341" s="2">
        <f t="shared" si="264"/>
        <v>0</v>
      </c>
      <c r="F341" s="2" t="str">
        <f t="shared" si="264"/>
        <v>Новый раздел</v>
      </c>
      <c r="G341" s="2" t="str">
        <f t="shared" si="264"/>
        <v xml:space="preserve">28. Замена/ устройство бортового камня  садового (для дорожно-тропиночной сети) </v>
      </c>
      <c r="H341" s="2"/>
      <c r="I341" s="2"/>
      <c r="J341" s="2"/>
      <c r="K341" s="2"/>
      <c r="L341" s="2"/>
      <c r="M341" s="2"/>
      <c r="N341" s="2"/>
      <c r="O341" s="2">
        <f t="shared" ref="O341:AT341" si="265">O353</f>
        <v>125828.6</v>
      </c>
      <c r="P341" s="2">
        <f t="shared" si="265"/>
        <v>49630.42</v>
      </c>
      <c r="Q341" s="2">
        <f t="shared" si="265"/>
        <v>33468.97</v>
      </c>
      <c r="R341" s="2">
        <f t="shared" si="265"/>
        <v>17834.36</v>
      </c>
      <c r="S341" s="2">
        <f t="shared" si="265"/>
        <v>42729.21</v>
      </c>
      <c r="T341" s="2">
        <f t="shared" si="265"/>
        <v>0</v>
      </c>
      <c r="U341" s="2">
        <f t="shared" si="265"/>
        <v>212.00720799999999</v>
      </c>
      <c r="V341" s="2">
        <f t="shared" si="265"/>
        <v>0</v>
      </c>
      <c r="W341" s="2">
        <f t="shared" si="265"/>
        <v>0</v>
      </c>
      <c r="X341" s="2">
        <f t="shared" si="265"/>
        <v>29910.46</v>
      </c>
      <c r="Y341" s="2">
        <f t="shared" si="265"/>
        <v>4272.92</v>
      </c>
      <c r="Z341" s="2">
        <f t="shared" si="265"/>
        <v>0</v>
      </c>
      <c r="AA341" s="2">
        <f t="shared" si="265"/>
        <v>0</v>
      </c>
      <c r="AB341" s="2">
        <f t="shared" si="265"/>
        <v>125828.6</v>
      </c>
      <c r="AC341" s="2">
        <f t="shared" si="265"/>
        <v>49630.42</v>
      </c>
      <c r="AD341" s="2">
        <f t="shared" si="265"/>
        <v>33468.97</v>
      </c>
      <c r="AE341" s="2">
        <f t="shared" si="265"/>
        <v>17834.36</v>
      </c>
      <c r="AF341" s="2">
        <f t="shared" si="265"/>
        <v>42729.21</v>
      </c>
      <c r="AG341" s="2">
        <f t="shared" si="265"/>
        <v>0</v>
      </c>
      <c r="AH341" s="2">
        <f t="shared" si="265"/>
        <v>212.00720799999999</v>
      </c>
      <c r="AI341" s="2">
        <f t="shared" si="265"/>
        <v>0</v>
      </c>
      <c r="AJ341" s="2">
        <f t="shared" si="265"/>
        <v>0</v>
      </c>
      <c r="AK341" s="2">
        <f t="shared" si="265"/>
        <v>29910.46</v>
      </c>
      <c r="AL341" s="2">
        <f t="shared" si="265"/>
        <v>4272.92</v>
      </c>
      <c r="AM341" s="2">
        <f t="shared" si="265"/>
        <v>0</v>
      </c>
      <c r="AN341" s="2">
        <f t="shared" si="265"/>
        <v>0</v>
      </c>
      <c r="AO341" s="2">
        <f t="shared" si="265"/>
        <v>0</v>
      </c>
      <c r="AP341" s="2">
        <f t="shared" si="265"/>
        <v>0</v>
      </c>
      <c r="AQ341" s="2">
        <f t="shared" si="265"/>
        <v>0</v>
      </c>
      <c r="AR341" s="2">
        <f t="shared" si="265"/>
        <v>160770.18</v>
      </c>
      <c r="AS341" s="2">
        <f t="shared" si="265"/>
        <v>3238.72</v>
      </c>
      <c r="AT341" s="2">
        <f t="shared" si="265"/>
        <v>0</v>
      </c>
      <c r="AU341" s="2">
        <f t="shared" ref="AU341:BZ341" si="266">AU353</f>
        <v>157531.46</v>
      </c>
      <c r="AV341" s="2">
        <f t="shared" si="266"/>
        <v>49630.42</v>
      </c>
      <c r="AW341" s="2">
        <f t="shared" si="266"/>
        <v>49630.42</v>
      </c>
      <c r="AX341" s="2">
        <f t="shared" si="266"/>
        <v>0</v>
      </c>
      <c r="AY341" s="2">
        <f t="shared" si="266"/>
        <v>49630.42</v>
      </c>
      <c r="AZ341" s="2">
        <f t="shared" si="266"/>
        <v>0</v>
      </c>
      <c r="BA341" s="2">
        <f t="shared" si="266"/>
        <v>0</v>
      </c>
      <c r="BB341" s="2">
        <f t="shared" si="266"/>
        <v>0</v>
      </c>
      <c r="BC341" s="2">
        <f t="shared" si="266"/>
        <v>0</v>
      </c>
      <c r="BD341" s="2">
        <f t="shared" si="266"/>
        <v>0</v>
      </c>
      <c r="BE341" s="2">
        <f t="shared" si="266"/>
        <v>0</v>
      </c>
      <c r="BF341" s="2">
        <f t="shared" si="266"/>
        <v>0</v>
      </c>
      <c r="BG341" s="2">
        <f t="shared" si="266"/>
        <v>0</v>
      </c>
      <c r="BH341" s="2">
        <f t="shared" si="266"/>
        <v>0</v>
      </c>
      <c r="BI341" s="2">
        <f t="shared" si="266"/>
        <v>0</v>
      </c>
      <c r="BJ341" s="2">
        <f t="shared" si="266"/>
        <v>0</v>
      </c>
      <c r="BK341" s="2">
        <f t="shared" si="266"/>
        <v>0</v>
      </c>
      <c r="BL341" s="2">
        <f t="shared" si="266"/>
        <v>0</v>
      </c>
      <c r="BM341" s="2">
        <f t="shared" si="266"/>
        <v>0</v>
      </c>
      <c r="BN341" s="2">
        <f t="shared" si="266"/>
        <v>0</v>
      </c>
      <c r="BO341" s="2">
        <f t="shared" si="266"/>
        <v>0</v>
      </c>
      <c r="BP341" s="2">
        <f t="shared" si="266"/>
        <v>0</v>
      </c>
      <c r="BQ341" s="2">
        <f t="shared" si="266"/>
        <v>0</v>
      </c>
      <c r="BR341" s="2">
        <f t="shared" si="266"/>
        <v>0</v>
      </c>
      <c r="BS341" s="2">
        <f t="shared" si="266"/>
        <v>0</v>
      </c>
      <c r="BT341" s="2">
        <f t="shared" si="266"/>
        <v>0</v>
      </c>
      <c r="BU341" s="2">
        <f t="shared" si="266"/>
        <v>0</v>
      </c>
      <c r="BV341" s="2">
        <f t="shared" si="266"/>
        <v>0</v>
      </c>
      <c r="BW341" s="2">
        <f t="shared" si="266"/>
        <v>0</v>
      </c>
      <c r="BX341" s="2">
        <f t="shared" si="266"/>
        <v>0</v>
      </c>
      <c r="BY341" s="2">
        <f t="shared" si="266"/>
        <v>0</v>
      </c>
      <c r="BZ341" s="2">
        <f t="shared" si="266"/>
        <v>0</v>
      </c>
      <c r="CA341" s="2">
        <f t="shared" ref="CA341:DF341" si="267">CA353</f>
        <v>160770.18</v>
      </c>
      <c r="CB341" s="2">
        <f t="shared" si="267"/>
        <v>3238.72</v>
      </c>
      <c r="CC341" s="2">
        <f t="shared" si="267"/>
        <v>0</v>
      </c>
      <c r="CD341" s="2">
        <f t="shared" si="267"/>
        <v>157531.46</v>
      </c>
      <c r="CE341" s="2">
        <f t="shared" si="267"/>
        <v>49630.42</v>
      </c>
      <c r="CF341" s="2">
        <f t="shared" si="267"/>
        <v>49630.42</v>
      </c>
      <c r="CG341" s="2">
        <f t="shared" si="267"/>
        <v>0</v>
      </c>
      <c r="CH341" s="2">
        <f t="shared" si="267"/>
        <v>49630.42</v>
      </c>
      <c r="CI341" s="2">
        <f t="shared" si="267"/>
        <v>0</v>
      </c>
      <c r="CJ341" s="2">
        <f t="shared" si="267"/>
        <v>0</v>
      </c>
      <c r="CK341" s="2">
        <f t="shared" si="267"/>
        <v>0</v>
      </c>
      <c r="CL341" s="2">
        <f t="shared" si="267"/>
        <v>0</v>
      </c>
      <c r="CM341" s="2">
        <f t="shared" si="267"/>
        <v>0</v>
      </c>
      <c r="CN341" s="2">
        <f t="shared" si="267"/>
        <v>0</v>
      </c>
      <c r="CO341" s="2">
        <f t="shared" si="267"/>
        <v>0</v>
      </c>
      <c r="CP341" s="2">
        <f t="shared" si="267"/>
        <v>0</v>
      </c>
      <c r="CQ341" s="2">
        <f t="shared" si="267"/>
        <v>0</v>
      </c>
      <c r="CR341" s="2">
        <f t="shared" si="267"/>
        <v>0</v>
      </c>
      <c r="CS341" s="2">
        <f t="shared" si="267"/>
        <v>0</v>
      </c>
      <c r="CT341" s="2">
        <f t="shared" si="267"/>
        <v>0</v>
      </c>
      <c r="CU341" s="2">
        <f t="shared" si="267"/>
        <v>0</v>
      </c>
      <c r="CV341" s="2">
        <f t="shared" si="267"/>
        <v>0</v>
      </c>
      <c r="CW341" s="2">
        <f t="shared" si="267"/>
        <v>0</v>
      </c>
      <c r="CX341" s="2">
        <f t="shared" si="267"/>
        <v>0</v>
      </c>
      <c r="CY341" s="2">
        <f t="shared" si="267"/>
        <v>0</v>
      </c>
      <c r="CZ341" s="2">
        <f t="shared" si="267"/>
        <v>0</v>
      </c>
      <c r="DA341" s="2">
        <f t="shared" si="267"/>
        <v>0</v>
      </c>
      <c r="DB341" s="2">
        <f t="shared" si="267"/>
        <v>0</v>
      </c>
      <c r="DC341" s="2">
        <f t="shared" si="267"/>
        <v>0</v>
      </c>
      <c r="DD341" s="2">
        <f t="shared" si="267"/>
        <v>0</v>
      </c>
      <c r="DE341" s="2">
        <f t="shared" si="267"/>
        <v>0</v>
      </c>
      <c r="DF341" s="2">
        <f t="shared" si="267"/>
        <v>0</v>
      </c>
      <c r="DG341" s="3">
        <f t="shared" ref="DG341:EL341" si="268">DG353</f>
        <v>0</v>
      </c>
      <c r="DH341" s="3">
        <f t="shared" si="268"/>
        <v>0</v>
      </c>
      <c r="DI341" s="3">
        <f t="shared" si="268"/>
        <v>0</v>
      </c>
      <c r="DJ341" s="3">
        <f t="shared" si="268"/>
        <v>0</v>
      </c>
      <c r="DK341" s="3">
        <f t="shared" si="268"/>
        <v>0</v>
      </c>
      <c r="DL341" s="3">
        <f t="shared" si="268"/>
        <v>0</v>
      </c>
      <c r="DM341" s="3">
        <f t="shared" si="268"/>
        <v>0</v>
      </c>
      <c r="DN341" s="3">
        <f t="shared" si="268"/>
        <v>0</v>
      </c>
      <c r="DO341" s="3">
        <f t="shared" si="268"/>
        <v>0</v>
      </c>
      <c r="DP341" s="3">
        <f t="shared" si="268"/>
        <v>0</v>
      </c>
      <c r="DQ341" s="3">
        <f t="shared" si="268"/>
        <v>0</v>
      </c>
      <c r="DR341" s="3">
        <f t="shared" si="268"/>
        <v>0</v>
      </c>
      <c r="DS341" s="3">
        <f t="shared" si="268"/>
        <v>0</v>
      </c>
      <c r="DT341" s="3">
        <f t="shared" si="268"/>
        <v>0</v>
      </c>
      <c r="DU341" s="3">
        <f t="shared" si="268"/>
        <v>0</v>
      </c>
      <c r="DV341" s="3">
        <f t="shared" si="268"/>
        <v>0</v>
      </c>
      <c r="DW341" s="3">
        <f t="shared" si="268"/>
        <v>0</v>
      </c>
      <c r="DX341" s="3">
        <f t="shared" si="268"/>
        <v>0</v>
      </c>
      <c r="DY341" s="3">
        <f t="shared" si="268"/>
        <v>0</v>
      </c>
      <c r="DZ341" s="3">
        <f t="shared" si="268"/>
        <v>0</v>
      </c>
      <c r="EA341" s="3">
        <f t="shared" si="268"/>
        <v>0</v>
      </c>
      <c r="EB341" s="3">
        <f t="shared" si="268"/>
        <v>0</v>
      </c>
      <c r="EC341" s="3">
        <f t="shared" si="268"/>
        <v>0</v>
      </c>
      <c r="ED341" s="3">
        <f t="shared" si="268"/>
        <v>0</v>
      </c>
      <c r="EE341" s="3">
        <f t="shared" si="268"/>
        <v>0</v>
      </c>
      <c r="EF341" s="3">
        <f t="shared" si="268"/>
        <v>0</v>
      </c>
      <c r="EG341" s="3">
        <f t="shared" si="268"/>
        <v>0</v>
      </c>
      <c r="EH341" s="3">
        <f t="shared" si="268"/>
        <v>0</v>
      </c>
      <c r="EI341" s="3">
        <f t="shared" si="268"/>
        <v>0</v>
      </c>
      <c r="EJ341" s="3">
        <f t="shared" si="268"/>
        <v>0</v>
      </c>
      <c r="EK341" s="3">
        <f t="shared" si="268"/>
        <v>0</v>
      </c>
      <c r="EL341" s="3">
        <f t="shared" si="268"/>
        <v>0</v>
      </c>
      <c r="EM341" s="3">
        <f t="shared" ref="EM341:FR341" si="269">EM353</f>
        <v>0</v>
      </c>
      <c r="EN341" s="3">
        <f t="shared" si="269"/>
        <v>0</v>
      </c>
      <c r="EO341" s="3">
        <f t="shared" si="269"/>
        <v>0</v>
      </c>
      <c r="EP341" s="3">
        <f t="shared" si="269"/>
        <v>0</v>
      </c>
      <c r="EQ341" s="3">
        <f t="shared" si="269"/>
        <v>0</v>
      </c>
      <c r="ER341" s="3">
        <f t="shared" si="269"/>
        <v>0</v>
      </c>
      <c r="ES341" s="3">
        <f t="shared" si="269"/>
        <v>0</v>
      </c>
      <c r="ET341" s="3">
        <f t="shared" si="269"/>
        <v>0</v>
      </c>
      <c r="EU341" s="3">
        <f t="shared" si="269"/>
        <v>0</v>
      </c>
      <c r="EV341" s="3">
        <f t="shared" si="269"/>
        <v>0</v>
      </c>
      <c r="EW341" s="3">
        <f t="shared" si="269"/>
        <v>0</v>
      </c>
      <c r="EX341" s="3">
        <f t="shared" si="269"/>
        <v>0</v>
      </c>
      <c r="EY341" s="3">
        <f t="shared" si="269"/>
        <v>0</v>
      </c>
      <c r="EZ341" s="3">
        <f t="shared" si="269"/>
        <v>0</v>
      </c>
      <c r="FA341" s="3">
        <f t="shared" si="269"/>
        <v>0</v>
      </c>
      <c r="FB341" s="3">
        <f t="shared" si="269"/>
        <v>0</v>
      </c>
      <c r="FC341" s="3">
        <f t="shared" si="269"/>
        <v>0</v>
      </c>
      <c r="FD341" s="3">
        <f t="shared" si="269"/>
        <v>0</v>
      </c>
      <c r="FE341" s="3">
        <f t="shared" si="269"/>
        <v>0</v>
      </c>
      <c r="FF341" s="3">
        <f t="shared" si="269"/>
        <v>0</v>
      </c>
      <c r="FG341" s="3">
        <f t="shared" si="269"/>
        <v>0</v>
      </c>
      <c r="FH341" s="3">
        <f t="shared" si="269"/>
        <v>0</v>
      </c>
      <c r="FI341" s="3">
        <f t="shared" si="269"/>
        <v>0</v>
      </c>
      <c r="FJ341" s="3">
        <f t="shared" si="269"/>
        <v>0</v>
      </c>
      <c r="FK341" s="3">
        <f t="shared" si="269"/>
        <v>0</v>
      </c>
      <c r="FL341" s="3">
        <f t="shared" si="269"/>
        <v>0</v>
      </c>
      <c r="FM341" s="3">
        <f t="shared" si="269"/>
        <v>0</v>
      </c>
      <c r="FN341" s="3">
        <f t="shared" si="269"/>
        <v>0</v>
      </c>
      <c r="FO341" s="3">
        <f t="shared" si="269"/>
        <v>0</v>
      </c>
      <c r="FP341" s="3">
        <f t="shared" si="269"/>
        <v>0</v>
      </c>
      <c r="FQ341" s="3">
        <f t="shared" si="269"/>
        <v>0</v>
      </c>
      <c r="FR341" s="3">
        <f t="shared" si="269"/>
        <v>0</v>
      </c>
      <c r="FS341" s="3">
        <f t="shared" ref="FS341:GX341" si="270">FS353</f>
        <v>0</v>
      </c>
      <c r="FT341" s="3">
        <f t="shared" si="270"/>
        <v>0</v>
      </c>
      <c r="FU341" s="3">
        <f t="shared" si="270"/>
        <v>0</v>
      </c>
      <c r="FV341" s="3">
        <f t="shared" si="270"/>
        <v>0</v>
      </c>
      <c r="FW341" s="3">
        <f t="shared" si="270"/>
        <v>0</v>
      </c>
      <c r="FX341" s="3">
        <f t="shared" si="270"/>
        <v>0</v>
      </c>
      <c r="FY341" s="3">
        <f t="shared" si="270"/>
        <v>0</v>
      </c>
      <c r="FZ341" s="3">
        <f t="shared" si="270"/>
        <v>0</v>
      </c>
      <c r="GA341" s="3">
        <f t="shared" si="270"/>
        <v>0</v>
      </c>
      <c r="GB341" s="3">
        <f t="shared" si="270"/>
        <v>0</v>
      </c>
      <c r="GC341" s="3">
        <f t="shared" si="270"/>
        <v>0</v>
      </c>
      <c r="GD341" s="3">
        <f t="shared" si="270"/>
        <v>0</v>
      </c>
      <c r="GE341" s="3">
        <f t="shared" si="270"/>
        <v>0</v>
      </c>
      <c r="GF341" s="3">
        <f t="shared" si="270"/>
        <v>0</v>
      </c>
      <c r="GG341" s="3">
        <f t="shared" si="270"/>
        <v>0</v>
      </c>
      <c r="GH341" s="3">
        <f t="shared" si="270"/>
        <v>0</v>
      </c>
      <c r="GI341" s="3">
        <f t="shared" si="270"/>
        <v>0</v>
      </c>
      <c r="GJ341" s="3">
        <f t="shared" si="270"/>
        <v>0</v>
      </c>
      <c r="GK341" s="3">
        <f t="shared" si="270"/>
        <v>0</v>
      </c>
      <c r="GL341" s="3">
        <f t="shared" si="270"/>
        <v>0</v>
      </c>
      <c r="GM341" s="3">
        <f t="shared" si="270"/>
        <v>0</v>
      </c>
      <c r="GN341" s="3">
        <f t="shared" si="270"/>
        <v>0</v>
      </c>
      <c r="GO341" s="3">
        <f t="shared" si="270"/>
        <v>0</v>
      </c>
      <c r="GP341" s="3">
        <f t="shared" si="270"/>
        <v>0</v>
      </c>
      <c r="GQ341" s="3">
        <f t="shared" si="270"/>
        <v>0</v>
      </c>
      <c r="GR341" s="3">
        <f t="shared" si="270"/>
        <v>0</v>
      </c>
      <c r="GS341" s="3">
        <f t="shared" si="270"/>
        <v>0</v>
      </c>
      <c r="GT341" s="3">
        <f t="shared" si="270"/>
        <v>0</v>
      </c>
      <c r="GU341" s="3">
        <f t="shared" si="270"/>
        <v>0</v>
      </c>
      <c r="GV341" s="3">
        <f t="shared" si="270"/>
        <v>0</v>
      </c>
      <c r="GW341" s="3">
        <f t="shared" si="270"/>
        <v>0</v>
      </c>
      <c r="GX341" s="3">
        <f t="shared" si="270"/>
        <v>0</v>
      </c>
    </row>
    <row r="343" spans="1:245" x14ac:dyDescent="0.2">
      <c r="A343">
        <v>17</v>
      </c>
      <c r="B343">
        <v>1</v>
      </c>
      <c r="C343">
        <f>ROW(SmtRes!A157)</f>
        <v>157</v>
      </c>
      <c r="D343">
        <f>ROW(EtalonRes!A154)</f>
        <v>154</v>
      </c>
      <c r="E343" t="s">
        <v>251</v>
      </c>
      <c r="F343" t="s">
        <v>141</v>
      </c>
      <c r="G343" t="s">
        <v>142</v>
      </c>
      <c r="H343" t="s">
        <v>143</v>
      </c>
      <c r="I343">
        <f>ROUND(140/100,9)</f>
        <v>1.4</v>
      </c>
      <c r="J343">
        <v>0</v>
      </c>
      <c r="O343">
        <f t="shared" ref="O343:O351" si="271">ROUND(CP343,2)</f>
        <v>21707.94</v>
      </c>
      <c r="P343">
        <f t="shared" ref="P343:P351" si="272">ROUND(CQ343*I343,2)</f>
        <v>0</v>
      </c>
      <c r="Q343">
        <f t="shared" ref="Q343:Q351" si="273">ROUND(CR343*I343,2)</f>
        <v>0</v>
      </c>
      <c r="R343">
        <f t="shared" ref="R343:R351" si="274">ROUND(CS343*I343,2)</f>
        <v>0</v>
      </c>
      <c r="S343">
        <f t="shared" ref="S343:S351" si="275">ROUND(CT343*I343,2)</f>
        <v>21707.94</v>
      </c>
      <c r="T343">
        <f t="shared" ref="T343:T351" si="276">ROUND(CU343*I343,2)</f>
        <v>0</v>
      </c>
      <c r="U343">
        <f t="shared" ref="U343:U351" si="277">CV343*I343</f>
        <v>107.38</v>
      </c>
      <c r="V343">
        <f t="shared" ref="V343:V351" si="278">CW343*I343</f>
        <v>0</v>
      </c>
      <c r="W343">
        <f t="shared" ref="W343:W351" si="279">ROUND(CX343*I343,2)</f>
        <v>0</v>
      </c>
      <c r="X343">
        <f t="shared" ref="X343:X351" si="280">ROUND(CY343,2)</f>
        <v>15195.56</v>
      </c>
      <c r="Y343">
        <f t="shared" ref="Y343:Y351" si="281">ROUND(CZ343,2)</f>
        <v>2170.79</v>
      </c>
      <c r="AA343">
        <v>42184655</v>
      </c>
      <c r="AB343">
        <f t="shared" ref="AB343:AB351" si="282">ROUND((AC343+AD343+AF343),6)</f>
        <v>15505.67</v>
      </c>
      <c r="AC343">
        <f>ROUND((ES343),6)</f>
        <v>0</v>
      </c>
      <c r="AD343">
        <f>ROUND((((ET343)-(EU343))+AE343),6)</f>
        <v>0</v>
      </c>
      <c r="AE343">
        <f t="shared" ref="AE343:AF347" si="283">ROUND((EU343),6)</f>
        <v>0</v>
      </c>
      <c r="AF343">
        <f t="shared" si="283"/>
        <v>15505.67</v>
      </c>
      <c r="AG343">
        <f t="shared" ref="AG343:AG351" si="284">ROUND((AP343),6)</f>
        <v>0</v>
      </c>
      <c r="AH343">
        <f t="shared" ref="AH343:AI347" si="285">(EW343)</f>
        <v>76.7</v>
      </c>
      <c r="AI343">
        <f t="shared" si="285"/>
        <v>0</v>
      </c>
      <c r="AJ343">
        <f t="shared" ref="AJ343:AJ351" si="286">(AS343)</f>
        <v>0</v>
      </c>
      <c r="AK343">
        <v>15505.67</v>
      </c>
      <c r="AL343">
        <v>0</v>
      </c>
      <c r="AM343">
        <v>0</v>
      </c>
      <c r="AN343">
        <v>0</v>
      </c>
      <c r="AO343">
        <v>15505.67</v>
      </c>
      <c r="AP343">
        <v>0</v>
      </c>
      <c r="AQ343">
        <v>76.7</v>
      </c>
      <c r="AR343">
        <v>0</v>
      </c>
      <c r="AS343">
        <v>0</v>
      </c>
      <c r="AT343">
        <v>70</v>
      </c>
      <c r="AU343">
        <v>10</v>
      </c>
      <c r="AV343">
        <v>1</v>
      </c>
      <c r="AW343">
        <v>1</v>
      </c>
      <c r="AZ343">
        <v>1</v>
      </c>
      <c r="BA343">
        <v>1</v>
      </c>
      <c r="BB343">
        <v>1</v>
      </c>
      <c r="BC343">
        <v>1</v>
      </c>
      <c r="BD343" t="s">
        <v>3</v>
      </c>
      <c r="BE343" t="s">
        <v>3</v>
      </c>
      <c r="BF343" t="s">
        <v>3</v>
      </c>
      <c r="BG343" t="s">
        <v>3</v>
      </c>
      <c r="BH343">
        <v>0</v>
      </c>
      <c r="BI343">
        <v>4</v>
      </c>
      <c r="BJ343" t="s">
        <v>144</v>
      </c>
      <c r="BM343">
        <v>0</v>
      </c>
      <c r="BN343">
        <v>0</v>
      </c>
      <c r="BO343" t="s">
        <v>3</v>
      </c>
      <c r="BP343">
        <v>0</v>
      </c>
      <c r="BQ343">
        <v>1</v>
      </c>
      <c r="BR343">
        <v>0</v>
      </c>
      <c r="BS343">
        <v>1</v>
      </c>
      <c r="BT343">
        <v>1</v>
      </c>
      <c r="BU343">
        <v>1</v>
      </c>
      <c r="BV343">
        <v>1</v>
      </c>
      <c r="BW343">
        <v>1</v>
      </c>
      <c r="BX343">
        <v>1</v>
      </c>
      <c r="BY343" t="s">
        <v>3</v>
      </c>
      <c r="BZ343">
        <v>70</v>
      </c>
      <c r="CA343">
        <v>10</v>
      </c>
      <c r="CE343">
        <v>0</v>
      </c>
      <c r="CF343">
        <v>0</v>
      </c>
      <c r="CG343">
        <v>0</v>
      </c>
      <c r="CM343">
        <v>0</v>
      </c>
      <c r="CN343" t="s">
        <v>3</v>
      </c>
      <c r="CO343">
        <v>0</v>
      </c>
      <c r="CP343">
        <f t="shared" ref="CP343:CP351" si="287">(P343+Q343+S343)</f>
        <v>21707.94</v>
      </c>
      <c r="CQ343">
        <f t="shared" ref="CQ343:CQ351" si="288">(AC343*BC343*AW343)</f>
        <v>0</v>
      </c>
      <c r="CR343">
        <f>((((ET343)*BB343-(EU343)*BS343)+AE343*BS343)*AV343)</f>
        <v>0</v>
      </c>
      <c r="CS343">
        <f t="shared" ref="CS343:CS351" si="289">(AE343*BS343*AV343)</f>
        <v>0</v>
      </c>
      <c r="CT343">
        <f t="shared" ref="CT343:CT351" si="290">(AF343*BA343*AV343)</f>
        <v>15505.67</v>
      </c>
      <c r="CU343">
        <f t="shared" ref="CU343:CU351" si="291">AG343</f>
        <v>0</v>
      </c>
      <c r="CV343">
        <f t="shared" ref="CV343:CV351" si="292">(AH343*AV343)</f>
        <v>76.7</v>
      </c>
      <c r="CW343">
        <f t="shared" ref="CW343:CW351" si="293">AI343</f>
        <v>0</v>
      </c>
      <c r="CX343">
        <f t="shared" ref="CX343:CX351" si="294">AJ343</f>
        <v>0</v>
      </c>
      <c r="CY343">
        <f t="shared" ref="CY343:CY351" si="295">((S343*BZ343)/100)</f>
        <v>15195.557999999997</v>
      </c>
      <c r="CZ343">
        <f t="shared" ref="CZ343:CZ351" si="296">((S343*CA343)/100)</f>
        <v>2170.7939999999999</v>
      </c>
      <c r="DC343" t="s">
        <v>3</v>
      </c>
      <c r="DD343" t="s">
        <v>3</v>
      </c>
      <c r="DE343" t="s">
        <v>3</v>
      </c>
      <c r="DF343" t="s">
        <v>3</v>
      </c>
      <c r="DG343" t="s">
        <v>3</v>
      </c>
      <c r="DH343" t="s">
        <v>3</v>
      </c>
      <c r="DI343" t="s">
        <v>3</v>
      </c>
      <c r="DJ343" t="s">
        <v>3</v>
      </c>
      <c r="DK343" t="s">
        <v>3</v>
      </c>
      <c r="DL343" t="s">
        <v>3</v>
      </c>
      <c r="DM343" t="s">
        <v>3</v>
      </c>
      <c r="DN343">
        <v>0</v>
      </c>
      <c r="DO343">
        <v>0</v>
      </c>
      <c r="DP343">
        <v>1</v>
      </c>
      <c r="DQ343">
        <v>1</v>
      </c>
      <c r="DU343">
        <v>1003</v>
      </c>
      <c r="DV343" t="s">
        <v>143</v>
      </c>
      <c r="DW343" t="s">
        <v>143</v>
      </c>
      <c r="DX343">
        <v>100</v>
      </c>
      <c r="EE343">
        <v>40658659</v>
      </c>
      <c r="EF343">
        <v>1</v>
      </c>
      <c r="EG343" t="s">
        <v>24</v>
      </c>
      <c r="EH343">
        <v>0</v>
      </c>
      <c r="EI343" t="s">
        <v>3</v>
      </c>
      <c r="EJ343">
        <v>4</v>
      </c>
      <c r="EK343">
        <v>0</v>
      </c>
      <c r="EL343" t="s">
        <v>25</v>
      </c>
      <c r="EM343" t="s">
        <v>26</v>
      </c>
      <c r="EO343" t="s">
        <v>3</v>
      </c>
      <c r="EQ343">
        <v>0</v>
      </c>
      <c r="ER343">
        <v>15505.67</v>
      </c>
      <c r="ES343">
        <v>0</v>
      </c>
      <c r="ET343">
        <v>0</v>
      </c>
      <c r="EU343">
        <v>0</v>
      </c>
      <c r="EV343">
        <v>15505.67</v>
      </c>
      <c r="EW343">
        <v>76.7</v>
      </c>
      <c r="EX343">
        <v>0</v>
      </c>
      <c r="EY343">
        <v>0</v>
      </c>
      <c r="FQ343">
        <v>0</v>
      </c>
      <c r="FR343">
        <f t="shared" ref="FR343:FR351" si="297">ROUND(IF(AND(BH343=3,BI343=3),P343,0),2)</f>
        <v>0</v>
      </c>
      <c r="FS343">
        <v>0</v>
      </c>
      <c r="FX343">
        <v>70</v>
      </c>
      <c r="FY343">
        <v>10</v>
      </c>
      <c r="GA343" t="s">
        <v>3</v>
      </c>
      <c r="GD343">
        <v>0</v>
      </c>
      <c r="GF343">
        <v>1467608921</v>
      </c>
      <c r="GG343">
        <v>2</v>
      </c>
      <c r="GH343">
        <v>1</v>
      </c>
      <c r="GI343">
        <v>-2</v>
      </c>
      <c r="GJ343">
        <v>0</v>
      </c>
      <c r="GK343">
        <f>ROUND(R343*(R12)/100,2)</f>
        <v>0</v>
      </c>
      <c r="GL343">
        <f t="shared" ref="GL343:GL351" si="298">ROUND(IF(AND(BH343=3,BI343=3,FS343&lt;&gt;0),P343,0),2)</f>
        <v>0</v>
      </c>
      <c r="GM343">
        <f>ROUND(O343+X343+Y343+GK343,2)+GX343</f>
        <v>39074.29</v>
      </c>
      <c r="GN343">
        <f>IF(OR(BI343=0,BI343=1),ROUND(O343+X343+Y343+GK343,2),0)</f>
        <v>0</v>
      </c>
      <c r="GO343">
        <f>IF(BI343=2,ROUND(O343+X343+Y343+GK343,2),0)</f>
        <v>0</v>
      </c>
      <c r="GP343">
        <f>IF(BI343=4,ROUND(O343+X343+Y343+GK343,2)+GX343,0)</f>
        <v>39074.29</v>
      </c>
      <c r="GR343">
        <v>0</v>
      </c>
      <c r="GS343">
        <v>3</v>
      </c>
      <c r="GT343">
        <v>0</v>
      </c>
      <c r="GU343" t="s">
        <v>3</v>
      </c>
      <c r="GV343">
        <f t="shared" ref="GV343:GV351" si="299">ROUND((GT343),6)</f>
        <v>0</v>
      </c>
      <c r="GW343">
        <v>1</v>
      </c>
      <c r="GX343">
        <f t="shared" ref="GX343:GX351" si="300">ROUND(HC343*I343,2)</f>
        <v>0</v>
      </c>
      <c r="HA343">
        <v>0</v>
      </c>
      <c r="HB343">
        <v>0</v>
      </c>
      <c r="HC343">
        <f t="shared" ref="HC343:HC351" si="301">GV343*GW343</f>
        <v>0</v>
      </c>
      <c r="IK343">
        <v>0</v>
      </c>
    </row>
    <row r="344" spans="1:245" x14ac:dyDescent="0.2">
      <c r="A344">
        <v>17</v>
      </c>
      <c r="B344">
        <v>1</v>
      </c>
      <c r="C344">
        <f>ROW(SmtRes!A158)</f>
        <v>158</v>
      </c>
      <c r="D344">
        <f>ROW(EtalonRes!A155)</f>
        <v>155</v>
      </c>
      <c r="E344" t="s">
        <v>252</v>
      </c>
      <c r="F344" t="s">
        <v>146</v>
      </c>
      <c r="G344" t="s">
        <v>147</v>
      </c>
      <c r="H344" t="s">
        <v>68</v>
      </c>
      <c r="I344">
        <f>ROUND(140*(0.016+0.048)*2.4*0.1,9)</f>
        <v>2.1503999999999999</v>
      </c>
      <c r="J344">
        <v>0</v>
      </c>
      <c r="O344">
        <f t="shared" si="271"/>
        <v>268.58</v>
      </c>
      <c r="P344">
        <f t="shared" si="272"/>
        <v>0</v>
      </c>
      <c r="Q344">
        <f t="shared" si="273"/>
        <v>0</v>
      </c>
      <c r="R344">
        <f t="shared" si="274"/>
        <v>0</v>
      </c>
      <c r="S344">
        <f t="shared" si="275"/>
        <v>268.58</v>
      </c>
      <c r="T344">
        <f t="shared" si="276"/>
        <v>0</v>
      </c>
      <c r="U344">
        <f t="shared" si="277"/>
        <v>2.1934079999999998</v>
      </c>
      <c r="V344">
        <f t="shared" si="278"/>
        <v>0</v>
      </c>
      <c r="W344">
        <f t="shared" si="279"/>
        <v>0</v>
      </c>
      <c r="X344">
        <f t="shared" si="280"/>
        <v>188.01</v>
      </c>
      <c r="Y344">
        <f t="shared" si="281"/>
        <v>26.86</v>
      </c>
      <c r="AA344">
        <v>42184655</v>
      </c>
      <c r="AB344">
        <f t="shared" si="282"/>
        <v>124.9</v>
      </c>
      <c r="AC344">
        <f>ROUND((ES344),6)</f>
        <v>0</v>
      </c>
      <c r="AD344">
        <f>ROUND((((ET344)-(EU344))+AE344),6)</f>
        <v>0</v>
      </c>
      <c r="AE344">
        <f t="shared" si="283"/>
        <v>0</v>
      </c>
      <c r="AF344">
        <f t="shared" si="283"/>
        <v>124.9</v>
      </c>
      <c r="AG344">
        <f t="shared" si="284"/>
        <v>0</v>
      </c>
      <c r="AH344">
        <f t="shared" si="285"/>
        <v>1.02</v>
      </c>
      <c r="AI344">
        <f t="shared" si="285"/>
        <v>0</v>
      </c>
      <c r="AJ344">
        <f t="shared" si="286"/>
        <v>0</v>
      </c>
      <c r="AK344">
        <v>124.9</v>
      </c>
      <c r="AL344">
        <v>0</v>
      </c>
      <c r="AM344">
        <v>0</v>
      </c>
      <c r="AN344">
        <v>0</v>
      </c>
      <c r="AO344">
        <v>124.9</v>
      </c>
      <c r="AP344">
        <v>0</v>
      </c>
      <c r="AQ344">
        <v>1.02</v>
      </c>
      <c r="AR344">
        <v>0</v>
      </c>
      <c r="AS344">
        <v>0</v>
      </c>
      <c r="AT344">
        <v>70</v>
      </c>
      <c r="AU344">
        <v>10</v>
      </c>
      <c r="AV344">
        <v>1</v>
      </c>
      <c r="AW344">
        <v>1</v>
      </c>
      <c r="AZ344">
        <v>1</v>
      </c>
      <c r="BA344">
        <v>1</v>
      </c>
      <c r="BB344">
        <v>1</v>
      </c>
      <c r="BC344">
        <v>1</v>
      </c>
      <c r="BD344" t="s">
        <v>3</v>
      </c>
      <c r="BE344" t="s">
        <v>3</v>
      </c>
      <c r="BF344" t="s">
        <v>3</v>
      </c>
      <c r="BG344" t="s">
        <v>3</v>
      </c>
      <c r="BH344">
        <v>0</v>
      </c>
      <c r="BI344">
        <v>4</v>
      </c>
      <c r="BJ344" t="s">
        <v>148</v>
      </c>
      <c r="BM344">
        <v>0</v>
      </c>
      <c r="BN344">
        <v>0</v>
      </c>
      <c r="BO344" t="s">
        <v>3</v>
      </c>
      <c r="BP344">
        <v>0</v>
      </c>
      <c r="BQ344">
        <v>1</v>
      </c>
      <c r="BR344">
        <v>0</v>
      </c>
      <c r="BS344">
        <v>1</v>
      </c>
      <c r="BT344">
        <v>1</v>
      </c>
      <c r="BU344">
        <v>1</v>
      </c>
      <c r="BV344">
        <v>1</v>
      </c>
      <c r="BW344">
        <v>1</v>
      </c>
      <c r="BX344">
        <v>1</v>
      </c>
      <c r="BY344" t="s">
        <v>3</v>
      </c>
      <c r="BZ344">
        <v>70</v>
      </c>
      <c r="CA344">
        <v>10</v>
      </c>
      <c r="CE344">
        <v>0</v>
      </c>
      <c r="CF344">
        <v>0</v>
      </c>
      <c r="CG344">
        <v>0</v>
      </c>
      <c r="CM344">
        <v>0</v>
      </c>
      <c r="CN344" t="s">
        <v>3</v>
      </c>
      <c r="CO344">
        <v>0</v>
      </c>
      <c r="CP344">
        <f t="shared" si="287"/>
        <v>268.58</v>
      </c>
      <c r="CQ344">
        <f t="shared" si="288"/>
        <v>0</v>
      </c>
      <c r="CR344">
        <f>((((ET344)*BB344-(EU344)*BS344)+AE344*BS344)*AV344)</f>
        <v>0</v>
      </c>
      <c r="CS344">
        <f t="shared" si="289"/>
        <v>0</v>
      </c>
      <c r="CT344">
        <f t="shared" si="290"/>
        <v>124.9</v>
      </c>
      <c r="CU344">
        <f t="shared" si="291"/>
        <v>0</v>
      </c>
      <c r="CV344">
        <f t="shared" si="292"/>
        <v>1.02</v>
      </c>
      <c r="CW344">
        <f t="shared" si="293"/>
        <v>0</v>
      </c>
      <c r="CX344">
        <f t="shared" si="294"/>
        <v>0</v>
      </c>
      <c r="CY344">
        <f t="shared" si="295"/>
        <v>188.00599999999997</v>
      </c>
      <c r="CZ344">
        <f t="shared" si="296"/>
        <v>26.857999999999997</v>
      </c>
      <c r="DC344" t="s">
        <v>3</v>
      </c>
      <c r="DD344" t="s">
        <v>3</v>
      </c>
      <c r="DE344" t="s">
        <v>3</v>
      </c>
      <c r="DF344" t="s">
        <v>3</v>
      </c>
      <c r="DG344" t="s">
        <v>3</v>
      </c>
      <c r="DH344" t="s">
        <v>3</v>
      </c>
      <c r="DI344" t="s">
        <v>3</v>
      </c>
      <c r="DJ344" t="s">
        <v>3</v>
      </c>
      <c r="DK344" t="s">
        <v>3</v>
      </c>
      <c r="DL344" t="s">
        <v>3</v>
      </c>
      <c r="DM344" t="s">
        <v>3</v>
      </c>
      <c r="DN344">
        <v>0</v>
      </c>
      <c r="DO344">
        <v>0</v>
      </c>
      <c r="DP344">
        <v>1</v>
      </c>
      <c r="DQ344">
        <v>1</v>
      </c>
      <c r="DU344">
        <v>1009</v>
      </c>
      <c r="DV344" t="s">
        <v>68</v>
      </c>
      <c r="DW344" t="s">
        <v>68</v>
      </c>
      <c r="DX344">
        <v>1000</v>
      </c>
      <c r="EE344">
        <v>40658659</v>
      </c>
      <c r="EF344">
        <v>1</v>
      </c>
      <c r="EG344" t="s">
        <v>24</v>
      </c>
      <c r="EH344">
        <v>0</v>
      </c>
      <c r="EI344" t="s">
        <v>3</v>
      </c>
      <c r="EJ344">
        <v>4</v>
      </c>
      <c r="EK344">
        <v>0</v>
      </c>
      <c r="EL344" t="s">
        <v>25</v>
      </c>
      <c r="EM344" t="s">
        <v>26</v>
      </c>
      <c r="EO344" t="s">
        <v>3</v>
      </c>
      <c r="EQ344">
        <v>0</v>
      </c>
      <c r="ER344">
        <v>124.9</v>
      </c>
      <c r="ES344">
        <v>0</v>
      </c>
      <c r="ET344">
        <v>0</v>
      </c>
      <c r="EU344">
        <v>0</v>
      </c>
      <c r="EV344">
        <v>124.9</v>
      </c>
      <c r="EW344">
        <v>1.02</v>
      </c>
      <c r="EX344">
        <v>0</v>
      </c>
      <c r="EY344">
        <v>0</v>
      </c>
      <c r="FQ344">
        <v>0</v>
      </c>
      <c r="FR344">
        <f t="shared" si="297"/>
        <v>0</v>
      </c>
      <c r="FS344">
        <v>0</v>
      </c>
      <c r="FX344">
        <v>70</v>
      </c>
      <c r="FY344">
        <v>10</v>
      </c>
      <c r="GA344" t="s">
        <v>3</v>
      </c>
      <c r="GD344">
        <v>0</v>
      </c>
      <c r="GF344">
        <v>44828971</v>
      </c>
      <c r="GG344">
        <v>2</v>
      </c>
      <c r="GH344">
        <v>1</v>
      </c>
      <c r="GI344">
        <v>-2</v>
      </c>
      <c r="GJ344">
        <v>0</v>
      </c>
      <c r="GK344">
        <f>ROUND(R344*(R12)/100,2)</f>
        <v>0</v>
      </c>
      <c r="GL344">
        <f t="shared" si="298"/>
        <v>0</v>
      </c>
      <c r="GM344">
        <f>ROUND(O344+X344+Y344+GK344,2)+GX344</f>
        <v>483.45</v>
      </c>
      <c r="GN344">
        <f>IF(OR(BI344=0,BI344=1),ROUND(O344+X344+Y344+GK344,2),0)</f>
        <v>0</v>
      </c>
      <c r="GO344">
        <f>IF(BI344=2,ROUND(O344+X344+Y344+GK344,2),0)</f>
        <v>0</v>
      </c>
      <c r="GP344">
        <f>IF(BI344=4,ROUND(O344+X344+Y344+GK344,2)+GX344,0)</f>
        <v>483.45</v>
      </c>
      <c r="GR344">
        <v>0</v>
      </c>
      <c r="GS344">
        <v>3</v>
      </c>
      <c r="GT344">
        <v>0</v>
      </c>
      <c r="GU344" t="s">
        <v>3</v>
      </c>
      <c r="GV344">
        <f t="shared" si="299"/>
        <v>0</v>
      </c>
      <c r="GW344">
        <v>1</v>
      </c>
      <c r="GX344">
        <f t="shared" si="300"/>
        <v>0</v>
      </c>
      <c r="HA344">
        <v>0</v>
      </c>
      <c r="HB344">
        <v>0</v>
      </c>
      <c r="HC344">
        <f t="shared" si="301"/>
        <v>0</v>
      </c>
      <c r="IK344">
        <v>0</v>
      </c>
    </row>
    <row r="345" spans="1:245" x14ac:dyDescent="0.2">
      <c r="A345">
        <v>17</v>
      </c>
      <c r="B345">
        <v>1</v>
      </c>
      <c r="C345">
        <f>ROW(SmtRes!A159)</f>
        <v>159</v>
      </c>
      <c r="D345">
        <f>ROW(EtalonRes!A156)</f>
        <v>156</v>
      </c>
      <c r="E345" t="s">
        <v>253</v>
      </c>
      <c r="F345" t="s">
        <v>150</v>
      </c>
      <c r="G345" t="s">
        <v>151</v>
      </c>
      <c r="H345" t="s">
        <v>68</v>
      </c>
      <c r="I345">
        <f>ROUND(140*(0.016+0.048)*2.4*0.9,9)</f>
        <v>19.3536</v>
      </c>
      <c r="J345">
        <v>0</v>
      </c>
      <c r="O345">
        <f t="shared" si="271"/>
        <v>1553.13</v>
      </c>
      <c r="P345">
        <f t="shared" si="272"/>
        <v>0</v>
      </c>
      <c r="Q345">
        <f t="shared" si="273"/>
        <v>1553.13</v>
      </c>
      <c r="R345">
        <f t="shared" si="274"/>
        <v>500.1</v>
      </c>
      <c r="S345">
        <f t="shared" si="275"/>
        <v>0</v>
      </c>
      <c r="T345">
        <f t="shared" si="276"/>
        <v>0</v>
      </c>
      <c r="U345">
        <f t="shared" si="277"/>
        <v>0</v>
      </c>
      <c r="V345">
        <f t="shared" si="278"/>
        <v>0</v>
      </c>
      <c r="W345">
        <f t="shared" si="279"/>
        <v>0</v>
      </c>
      <c r="X345">
        <f t="shared" si="280"/>
        <v>0</v>
      </c>
      <c r="Y345">
        <f t="shared" si="281"/>
        <v>0</v>
      </c>
      <c r="AA345">
        <v>42184655</v>
      </c>
      <c r="AB345">
        <f t="shared" si="282"/>
        <v>80.25</v>
      </c>
      <c r="AC345">
        <f>ROUND((ES345),6)</f>
        <v>0</v>
      </c>
      <c r="AD345">
        <f>ROUND((((ET345)-(EU345))+AE345),6)</f>
        <v>80.25</v>
      </c>
      <c r="AE345">
        <f t="shared" si="283"/>
        <v>25.84</v>
      </c>
      <c r="AF345">
        <f t="shared" si="283"/>
        <v>0</v>
      </c>
      <c r="AG345">
        <f t="shared" si="284"/>
        <v>0</v>
      </c>
      <c r="AH345">
        <f t="shared" si="285"/>
        <v>0</v>
      </c>
      <c r="AI345">
        <f t="shared" si="285"/>
        <v>0</v>
      </c>
      <c r="AJ345">
        <f t="shared" si="286"/>
        <v>0</v>
      </c>
      <c r="AK345">
        <v>80.25</v>
      </c>
      <c r="AL345">
        <v>0</v>
      </c>
      <c r="AM345">
        <v>80.25</v>
      </c>
      <c r="AN345">
        <v>25.84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70</v>
      </c>
      <c r="AU345">
        <v>10</v>
      </c>
      <c r="AV345">
        <v>1</v>
      </c>
      <c r="AW345">
        <v>1</v>
      </c>
      <c r="AZ345">
        <v>1</v>
      </c>
      <c r="BA345">
        <v>1</v>
      </c>
      <c r="BB345">
        <v>1</v>
      </c>
      <c r="BC345">
        <v>1</v>
      </c>
      <c r="BD345" t="s">
        <v>3</v>
      </c>
      <c r="BE345" t="s">
        <v>3</v>
      </c>
      <c r="BF345" t="s">
        <v>3</v>
      </c>
      <c r="BG345" t="s">
        <v>3</v>
      </c>
      <c r="BH345">
        <v>0</v>
      </c>
      <c r="BI345">
        <v>4</v>
      </c>
      <c r="BJ345" t="s">
        <v>152</v>
      </c>
      <c r="BM345">
        <v>0</v>
      </c>
      <c r="BN345">
        <v>0</v>
      </c>
      <c r="BO345" t="s">
        <v>3</v>
      </c>
      <c r="BP345">
        <v>0</v>
      </c>
      <c r="BQ345">
        <v>1</v>
      </c>
      <c r="BR345">
        <v>0</v>
      </c>
      <c r="BS345">
        <v>1</v>
      </c>
      <c r="BT345">
        <v>1</v>
      </c>
      <c r="BU345">
        <v>1</v>
      </c>
      <c r="BV345">
        <v>1</v>
      </c>
      <c r="BW345">
        <v>1</v>
      </c>
      <c r="BX345">
        <v>1</v>
      </c>
      <c r="BY345" t="s">
        <v>3</v>
      </c>
      <c r="BZ345">
        <v>70</v>
      </c>
      <c r="CA345">
        <v>10</v>
      </c>
      <c r="CE345">
        <v>0</v>
      </c>
      <c r="CF345">
        <v>0</v>
      </c>
      <c r="CG345">
        <v>0</v>
      </c>
      <c r="CM345">
        <v>0</v>
      </c>
      <c r="CN345" t="s">
        <v>3</v>
      </c>
      <c r="CO345">
        <v>0</v>
      </c>
      <c r="CP345">
        <f t="shared" si="287"/>
        <v>1553.13</v>
      </c>
      <c r="CQ345">
        <f t="shared" si="288"/>
        <v>0</v>
      </c>
      <c r="CR345">
        <f>((((ET345)*BB345-(EU345)*BS345)+AE345*BS345)*AV345)</f>
        <v>80.25</v>
      </c>
      <c r="CS345">
        <f t="shared" si="289"/>
        <v>25.84</v>
      </c>
      <c r="CT345">
        <f t="shared" si="290"/>
        <v>0</v>
      </c>
      <c r="CU345">
        <f t="shared" si="291"/>
        <v>0</v>
      </c>
      <c r="CV345">
        <f t="shared" si="292"/>
        <v>0</v>
      </c>
      <c r="CW345">
        <f t="shared" si="293"/>
        <v>0</v>
      </c>
      <c r="CX345">
        <f t="shared" si="294"/>
        <v>0</v>
      </c>
      <c r="CY345">
        <f t="shared" si="295"/>
        <v>0</v>
      </c>
      <c r="CZ345">
        <f t="shared" si="296"/>
        <v>0</v>
      </c>
      <c r="DC345" t="s">
        <v>3</v>
      </c>
      <c r="DD345" t="s">
        <v>3</v>
      </c>
      <c r="DE345" t="s">
        <v>3</v>
      </c>
      <c r="DF345" t="s">
        <v>3</v>
      </c>
      <c r="DG345" t="s">
        <v>3</v>
      </c>
      <c r="DH345" t="s">
        <v>3</v>
      </c>
      <c r="DI345" t="s">
        <v>3</v>
      </c>
      <c r="DJ345" t="s">
        <v>3</v>
      </c>
      <c r="DK345" t="s">
        <v>3</v>
      </c>
      <c r="DL345" t="s">
        <v>3</v>
      </c>
      <c r="DM345" t="s">
        <v>3</v>
      </c>
      <c r="DN345">
        <v>0</v>
      </c>
      <c r="DO345">
        <v>0</v>
      </c>
      <c r="DP345">
        <v>1</v>
      </c>
      <c r="DQ345">
        <v>1</v>
      </c>
      <c r="DU345">
        <v>1009</v>
      </c>
      <c r="DV345" t="s">
        <v>68</v>
      </c>
      <c r="DW345" t="s">
        <v>68</v>
      </c>
      <c r="DX345">
        <v>1000</v>
      </c>
      <c r="EE345">
        <v>40658659</v>
      </c>
      <c r="EF345">
        <v>1</v>
      </c>
      <c r="EG345" t="s">
        <v>24</v>
      </c>
      <c r="EH345">
        <v>0</v>
      </c>
      <c r="EI345" t="s">
        <v>3</v>
      </c>
      <c r="EJ345">
        <v>4</v>
      </c>
      <c r="EK345">
        <v>0</v>
      </c>
      <c r="EL345" t="s">
        <v>25</v>
      </c>
      <c r="EM345" t="s">
        <v>26</v>
      </c>
      <c r="EO345" t="s">
        <v>3</v>
      </c>
      <c r="EQ345">
        <v>0</v>
      </c>
      <c r="ER345">
        <v>80.25</v>
      </c>
      <c r="ES345">
        <v>0</v>
      </c>
      <c r="ET345">
        <v>80.25</v>
      </c>
      <c r="EU345">
        <v>25.84</v>
      </c>
      <c r="EV345">
        <v>0</v>
      </c>
      <c r="EW345">
        <v>0</v>
      </c>
      <c r="EX345">
        <v>0</v>
      </c>
      <c r="EY345">
        <v>0</v>
      </c>
      <c r="FQ345">
        <v>0</v>
      </c>
      <c r="FR345">
        <f t="shared" si="297"/>
        <v>0</v>
      </c>
      <c r="FS345">
        <v>0</v>
      </c>
      <c r="FX345">
        <v>70</v>
      </c>
      <c r="FY345">
        <v>10</v>
      </c>
      <c r="GA345" t="s">
        <v>3</v>
      </c>
      <c r="GD345">
        <v>0</v>
      </c>
      <c r="GF345">
        <v>-706956719</v>
      </c>
      <c r="GG345">
        <v>2</v>
      </c>
      <c r="GH345">
        <v>1</v>
      </c>
      <c r="GI345">
        <v>-2</v>
      </c>
      <c r="GJ345">
        <v>0</v>
      </c>
      <c r="GK345">
        <f>ROUND(R345*(R12)/100,2)</f>
        <v>540.11</v>
      </c>
      <c r="GL345">
        <f t="shared" si="298"/>
        <v>0</v>
      </c>
      <c r="GM345">
        <f>ROUND(O345+X345+Y345+GK345,2)+GX345</f>
        <v>2093.2399999999998</v>
      </c>
      <c r="GN345">
        <f>IF(OR(BI345=0,BI345=1),ROUND(O345+X345+Y345+GK345,2),0)</f>
        <v>0</v>
      </c>
      <c r="GO345">
        <f>IF(BI345=2,ROUND(O345+X345+Y345+GK345,2),0)</f>
        <v>0</v>
      </c>
      <c r="GP345">
        <f>IF(BI345=4,ROUND(O345+X345+Y345+GK345,2)+GX345,0)</f>
        <v>2093.2399999999998</v>
      </c>
      <c r="GR345">
        <v>0</v>
      </c>
      <c r="GS345">
        <v>3</v>
      </c>
      <c r="GT345">
        <v>0</v>
      </c>
      <c r="GU345" t="s">
        <v>3</v>
      </c>
      <c r="GV345">
        <f t="shared" si="299"/>
        <v>0</v>
      </c>
      <c r="GW345">
        <v>1</v>
      </c>
      <c r="GX345">
        <f t="shared" si="300"/>
        <v>0</v>
      </c>
      <c r="HA345">
        <v>0</v>
      </c>
      <c r="HB345">
        <v>0</v>
      </c>
      <c r="HC345">
        <f t="shared" si="301"/>
        <v>0</v>
      </c>
      <c r="IK345">
        <v>0</v>
      </c>
    </row>
    <row r="346" spans="1:245" x14ac:dyDescent="0.2">
      <c r="A346">
        <v>17</v>
      </c>
      <c r="B346">
        <v>1</v>
      </c>
      <c r="C346">
        <f>ROW(SmtRes!A161)</f>
        <v>161</v>
      </c>
      <c r="D346">
        <f>ROW(EtalonRes!A158)</f>
        <v>158</v>
      </c>
      <c r="E346" t="s">
        <v>254</v>
      </c>
      <c r="F346" t="s">
        <v>154</v>
      </c>
      <c r="G346" t="s">
        <v>155</v>
      </c>
      <c r="H346" t="s">
        <v>68</v>
      </c>
      <c r="I346">
        <f>ROUND(I344,9)</f>
        <v>2.1503999999999999</v>
      </c>
      <c r="J346">
        <v>0</v>
      </c>
      <c r="O346">
        <f t="shared" si="271"/>
        <v>356.77</v>
      </c>
      <c r="P346">
        <f t="shared" si="272"/>
        <v>0</v>
      </c>
      <c r="Q346">
        <f t="shared" si="273"/>
        <v>356.77</v>
      </c>
      <c r="R346">
        <f t="shared" si="274"/>
        <v>193.92</v>
      </c>
      <c r="S346">
        <f t="shared" si="275"/>
        <v>0</v>
      </c>
      <c r="T346">
        <f t="shared" si="276"/>
        <v>0</v>
      </c>
      <c r="U346">
        <f t="shared" si="277"/>
        <v>0</v>
      </c>
      <c r="V346">
        <f t="shared" si="278"/>
        <v>0</v>
      </c>
      <c r="W346">
        <f t="shared" si="279"/>
        <v>0</v>
      </c>
      <c r="X346">
        <f t="shared" si="280"/>
        <v>0</v>
      </c>
      <c r="Y346">
        <f t="shared" si="281"/>
        <v>0</v>
      </c>
      <c r="AA346">
        <v>42184655</v>
      </c>
      <c r="AB346">
        <f t="shared" si="282"/>
        <v>165.91</v>
      </c>
      <c r="AC346">
        <f>ROUND((ES346),6)</f>
        <v>0</v>
      </c>
      <c r="AD346">
        <f>ROUND((((ET346)-(EU346))+AE346),6)</f>
        <v>165.91</v>
      </c>
      <c r="AE346">
        <f t="shared" si="283"/>
        <v>90.18</v>
      </c>
      <c r="AF346">
        <f t="shared" si="283"/>
        <v>0</v>
      </c>
      <c r="AG346">
        <f t="shared" si="284"/>
        <v>0</v>
      </c>
      <c r="AH346">
        <f t="shared" si="285"/>
        <v>0</v>
      </c>
      <c r="AI346">
        <f t="shared" si="285"/>
        <v>0</v>
      </c>
      <c r="AJ346">
        <f t="shared" si="286"/>
        <v>0</v>
      </c>
      <c r="AK346">
        <v>165.91</v>
      </c>
      <c r="AL346">
        <v>0</v>
      </c>
      <c r="AM346">
        <v>165.91</v>
      </c>
      <c r="AN346">
        <v>90.18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1</v>
      </c>
      <c r="AW346">
        <v>1</v>
      </c>
      <c r="AZ346">
        <v>1</v>
      </c>
      <c r="BA346">
        <v>1</v>
      </c>
      <c r="BB346">
        <v>1</v>
      </c>
      <c r="BC346">
        <v>1</v>
      </c>
      <c r="BD346" t="s">
        <v>3</v>
      </c>
      <c r="BE346" t="s">
        <v>3</v>
      </c>
      <c r="BF346" t="s">
        <v>3</v>
      </c>
      <c r="BG346" t="s">
        <v>3</v>
      </c>
      <c r="BH346">
        <v>0</v>
      </c>
      <c r="BI346">
        <v>4</v>
      </c>
      <c r="BJ346" t="s">
        <v>156</v>
      </c>
      <c r="BM346">
        <v>1</v>
      </c>
      <c r="BN346">
        <v>0</v>
      </c>
      <c r="BO346" t="s">
        <v>3</v>
      </c>
      <c r="BP346">
        <v>0</v>
      </c>
      <c r="BQ346">
        <v>1</v>
      </c>
      <c r="BR346">
        <v>0</v>
      </c>
      <c r="BS346">
        <v>1</v>
      </c>
      <c r="BT346">
        <v>1</v>
      </c>
      <c r="BU346">
        <v>1</v>
      </c>
      <c r="BV346">
        <v>1</v>
      </c>
      <c r="BW346">
        <v>1</v>
      </c>
      <c r="BX346">
        <v>1</v>
      </c>
      <c r="BY346" t="s">
        <v>3</v>
      </c>
      <c r="BZ346">
        <v>0</v>
      </c>
      <c r="CA346">
        <v>0</v>
      </c>
      <c r="CE346">
        <v>0</v>
      </c>
      <c r="CF346">
        <v>0</v>
      </c>
      <c r="CG346">
        <v>0</v>
      </c>
      <c r="CM346">
        <v>0</v>
      </c>
      <c r="CN346" t="s">
        <v>3</v>
      </c>
      <c r="CO346">
        <v>0</v>
      </c>
      <c r="CP346">
        <f t="shared" si="287"/>
        <v>356.77</v>
      </c>
      <c r="CQ346">
        <f t="shared" si="288"/>
        <v>0</v>
      </c>
      <c r="CR346">
        <f>((((ET346)*BB346-(EU346)*BS346)+AE346*BS346)*AV346)</f>
        <v>165.91</v>
      </c>
      <c r="CS346">
        <f t="shared" si="289"/>
        <v>90.18</v>
      </c>
      <c r="CT346">
        <f t="shared" si="290"/>
        <v>0</v>
      </c>
      <c r="CU346">
        <f t="shared" si="291"/>
        <v>0</v>
      </c>
      <c r="CV346">
        <f t="shared" si="292"/>
        <v>0</v>
      </c>
      <c r="CW346">
        <f t="shared" si="293"/>
        <v>0</v>
      </c>
      <c r="CX346">
        <f t="shared" si="294"/>
        <v>0</v>
      </c>
      <c r="CY346">
        <f t="shared" si="295"/>
        <v>0</v>
      </c>
      <c r="CZ346">
        <f t="shared" si="296"/>
        <v>0</v>
      </c>
      <c r="DC346" t="s">
        <v>3</v>
      </c>
      <c r="DD346" t="s">
        <v>3</v>
      </c>
      <c r="DE346" t="s">
        <v>3</v>
      </c>
      <c r="DF346" t="s">
        <v>3</v>
      </c>
      <c r="DG346" t="s">
        <v>3</v>
      </c>
      <c r="DH346" t="s">
        <v>3</v>
      </c>
      <c r="DI346" t="s">
        <v>3</v>
      </c>
      <c r="DJ346" t="s">
        <v>3</v>
      </c>
      <c r="DK346" t="s">
        <v>3</v>
      </c>
      <c r="DL346" t="s">
        <v>3</v>
      </c>
      <c r="DM346" t="s">
        <v>3</v>
      </c>
      <c r="DN346">
        <v>0</v>
      </c>
      <c r="DO346">
        <v>0</v>
      </c>
      <c r="DP346">
        <v>1</v>
      </c>
      <c r="DQ346">
        <v>1</v>
      </c>
      <c r="DU346">
        <v>1009</v>
      </c>
      <c r="DV346" t="s">
        <v>68</v>
      </c>
      <c r="DW346" t="s">
        <v>68</v>
      </c>
      <c r="DX346">
        <v>1000</v>
      </c>
      <c r="EE346">
        <v>40658662</v>
      </c>
      <c r="EF346">
        <v>1</v>
      </c>
      <c r="EG346" t="s">
        <v>24</v>
      </c>
      <c r="EH346">
        <v>0</v>
      </c>
      <c r="EI346" t="s">
        <v>3</v>
      </c>
      <c r="EJ346">
        <v>4</v>
      </c>
      <c r="EK346">
        <v>1</v>
      </c>
      <c r="EL346" t="s">
        <v>40</v>
      </c>
      <c r="EM346" t="s">
        <v>26</v>
      </c>
      <c r="EO346" t="s">
        <v>3</v>
      </c>
      <c r="EQ346">
        <v>0</v>
      </c>
      <c r="ER346">
        <v>165.91</v>
      </c>
      <c r="ES346">
        <v>0</v>
      </c>
      <c r="ET346">
        <v>165.91</v>
      </c>
      <c r="EU346">
        <v>90.18</v>
      </c>
      <c r="EV346">
        <v>0</v>
      </c>
      <c r="EW346">
        <v>0</v>
      </c>
      <c r="EX346">
        <v>0</v>
      </c>
      <c r="EY346">
        <v>0</v>
      </c>
      <c r="FQ346">
        <v>0</v>
      </c>
      <c r="FR346">
        <f t="shared" si="297"/>
        <v>0</v>
      </c>
      <c r="FS346">
        <v>0</v>
      </c>
      <c r="FX346">
        <v>0</v>
      </c>
      <c r="FY346">
        <v>0</v>
      </c>
      <c r="GA346" t="s">
        <v>3</v>
      </c>
      <c r="GD346">
        <v>1</v>
      </c>
      <c r="GF346">
        <v>1912105629</v>
      </c>
      <c r="GG346">
        <v>2</v>
      </c>
      <c r="GH346">
        <v>1</v>
      </c>
      <c r="GI346">
        <v>-2</v>
      </c>
      <c r="GJ346">
        <v>0</v>
      </c>
      <c r="GK346">
        <v>0</v>
      </c>
      <c r="GL346">
        <f t="shared" si="298"/>
        <v>0</v>
      </c>
      <c r="GM346">
        <f>ROUND(O346+X346+Y346,2)+GX346</f>
        <v>356.77</v>
      </c>
      <c r="GN346">
        <f>IF(OR(BI346=0,BI346=1),ROUND(O346+X346+Y346,2),0)</f>
        <v>0</v>
      </c>
      <c r="GO346">
        <f>IF(BI346=2,ROUND(O346+X346+Y346,2),0)</f>
        <v>0</v>
      </c>
      <c r="GP346">
        <f>IF(BI346=4,ROUND(O346+X346+Y346,2)+GX346,0)</f>
        <v>356.77</v>
      </c>
      <c r="GR346">
        <v>0</v>
      </c>
      <c r="GS346">
        <v>3</v>
      </c>
      <c r="GT346">
        <v>0</v>
      </c>
      <c r="GU346" t="s">
        <v>3</v>
      </c>
      <c r="GV346">
        <f t="shared" si="299"/>
        <v>0</v>
      </c>
      <c r="GW346">
        <v>1</v>
      </c>
      <c r="GX346">
        <f t="shared" si="300"/>
        <v>0</v>
      </c>
      <c r="HA346">
        <v>0</v>
      </c>
      <c r="HB346">
        <v>0</v>
      </c>
      <c r="HC346">
        <f t="shared" si="301"/>
        <v>0</v>
      </c>
      <c r="IK346">
        <v>0</v>
      </c>
    </row>
    <row r="347" spans="1:245" x14ac:dyDescent="0.2">
      <c r="A347">
        <v>17</v>
      </c>
      <c r="B347">
        <v>1</v>
      </c>
      <c r="C347">
        <f>ROW(SmtRes!A163)</f>
        <v>163</v>
      </c>
      <c r="D347">
        <f>ROW(EtalonRes!A160)</f>
        <v>160</v>
      </c>
      <c r="E347" t="s">
        <v>255</v>
      </c>
      <c r="F347" t="s">
        <v>158</v>
      </c>
      <c r="G347" t="s">
        <v>159</v>
      </c>
      <c r="H347" t="s">
        <v>68</v>
      </c>
      <c r="I347">
        <f>ROUND(I345,9)</f>
        <v>19.3536</v>
      </c>
      <c r="J347">
        <v>0</v>
      </c>
      <c r="O347">
        <f t="shared" si="271"/>
        <v>1119.22</v>
      </c>
      <c r="P347">
        <f t="shared" si="272"/>
        <v>0</v>
      </c>
      <c r="Q347">
        <f t="shared" si="273"/>
        <v>1119.22</v>
      </c>
      <c r="R347">
        <f t="shared" si="274"/>
        <v>608.48</v>
      </c>
      <c r="S347">
        <f t="shared" si="275"/>
        <v>0</v>
      </c>
      <c r="T347">
        <f t="shared" si="276"/>
        <v>0</v>
      </c>
      <c r="U347">
        <f t="shared" si="277"/>
        <v>0</v>
      </c>
      <c r="V347">
        <f t="shared" si="278"/>
        <v>0</v>
      </c>
      <c r="W347">
        <f t="shared" si="279"/>
        <v>0</v>
      </c>
      <c r="X347">
        <f t="shared" si="280"/>
        <v>0</v>
      </c>
      <c r="Y347">
        <f t="shared" si="281"/>
        <v>0</v>
      </c>
      <c r="AA347">
        <v>42184655</v>
      </c>
      <c r="AB347">
        <f t="shared" si="282"/>
        <v>57.83</v>
      </c>
      <c r="AC347">
        <f>ROUND((ES347),6)</f>
        <v>0</v>
      </c>
      <c r="AD347">
        <f>ROUND((((ET347)-(EU347))+AE347),6)</f>
        <v>57.83</v>
      </c>
      <c r="AE347">
        <f t="shared" si="283"/>
        <v>31.44</v>
      </c>
      <c r="AF347">
        <f t="shared" si="283"/>
        <v>0</v>
      </c>
      <c r="AG347">
        <f t="shared" si="284"/>
        <v>0</v>
      </c>
      <c r="AH347">
        <f t="shared" si="285"/>
        <v>0</v>
      </c>
      <c r="AI347">
        <f t="shared" si="285"/>
        <v>0</v>
      </c>
      <c r="AJ347">
        <f t="shared" si="286"/>
        <v>0</v>
      </c>
      <c r="AK347">
        <v>57.83</v>
      </c>
      <c r="AL347">
        <v>0</v>
      </c>
      <c r="AM347">
        <v>57.83</v>
      </c>
      <c r="AN347">
        <v>31.44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1</v>
      </c>
      <c r="AW347">
        <v>1</v>
      </c>
      <c r="AZ347">
        <v>1</v>
      </c>
      <c r="BA347">
        <v>1</v>
      </c>
      <c r="BB347">
        <v>1</v>
      </c>
      <c r="BC347">
        <v>1</v>
      </c>
      <c r="BD347" t="s">
        <v>3</v>
      </c>
      <c r="BE347" t="s">
        <v>3</v>
      </c>
      <c r="BF347" t="s">
        <v>3</v>
      </c>
      <c r="BG347" t="s">
        <v>3</v>
      </c>
      <c r="BH347">
        <v>0</v>
      </c>
      <c r="BI347">
        <v>4</v>
      </c>
      <c r="BJ347" t="s">
        <v>160</v>
      </c>
      <c r="BM347">
        <v>1</v>
      </c>
      <c r="BN347">
        <v>0</v>
      </c>
      <c r="BO347" t="s">
        <v>3</v>
      </c>
      <c r="BP347">
        <v>0</v>
      </c>
      <c r="BQ347">
        <v>1</v>
      </c>
      <c r="BR347">
        <v>0</v>
      </c>
      <c r="BS347">
        <v>1</v>
      </c>
      <c r="BT347">
        <v>1</v>
      </c>
      <c r="BU347">
        <v>1</v>
      </c>
      <c r="BV347">
        <v>1</v>
      </c>
      <c r="BW347">
        <v>1</v>
      </c>
      <c r="BX347">
        <v>1</v>
      </c>
      <c r="BY347" t="s">
        <v>3</v>
      </c>
      <c r="BZ347">
        <v>0</v>
      </c>
      <c r="CA347">
        <v>0</v>
      </c>
      <c r="CE347">
        <v>0</v>
      </c>
      <c r="CF347">
        <v>0</v>
      </c>
      <c r="CG347">
        <v>0</v>
      </c>
      <c r="CM347">
        <v>0</v>
      </c>
      <c r="CN347" t="s">
        <v>3</v>
      </c>
      <c r="CO347">
        <v>0</v>
      </c>
      <c r="CP347">
        <f t="shared" si="287"/>
        <v>1119.22</v>
      </c>
      <c r="CQ347">
        <f t="shared" si="288"/>
        <v>0</v>
      </c>
      <c r="CR347">
        <f>((((ET347)*BB347-(EU347)*BS347)+AE347*BS347)*AV347)</f>
        <v>57.83</v>
      </c>
      <c r="CS347">
        <f t="shared" si="289"/>
        <v>31.44</v>
      </c>
      <c r="CT347">
        <f t="shared" si="290"/>
        <v>0</v>
      </c>
      <c r="CU347">
        <f t="shared" si="291"/>
        <v>0</v>
      </c>
      <c r="CV347">
        <f t="shared" si="292"/>
        <v>0</v>
      </c>
      <c r="CW347">
        <f t="shared" si="293"/>
        <v>0</v>
      </c>
      <c r="CX347">
        <f t="shared" si="294"/>
        <v>0</v>
      </c>
      <c r="CY347">
        <f t="shared" si="295"/>
        <v>0</v>
      </c>
      <c r="CZ347">
        <f t="shared" si="296"/>
        <v>0</v>
      </c>
      <c r="DC347" t="s">
        <v>3</v>
      </c>
      <c r="DD347" t="s">
        <v>3</v>
      </c>
      <c r="DE347" t="s">
        <v>3</v>
      </c>
      <c r="DF347" t="s">
        <v>3</v>
      </c>
      <c r="DG347" t="s">
        <v>3</v>
      </c>
      <c r="DH347" t="s">
        <v>3</v>
      </c>
      <c r="DI347" t="s">
        <v>3</v>
      </c>
      <c r="DJ347" t="s">
        <v>3</v>
      </c>
      <c r="DK347" t="s">
        <v>3</v>
      </c>
      <c r="DL347" t="s">
        <v>3</v>
      </c>
      <c r="DM347" t="s">
        <v>3</v>
      </c>
      <c r="DN347">
        <v>0</v>
      </c>
      <c r="DO347">
        <v>0</v>
      </c>
      <c r="DP347">
        <v>1</v>
      </c>
      <c r="DQ347">
        <v>1</v>
      </c>
      <c r="DU347">
        <v>1009</v>
      </c>
      <c r="DV347" t="s">
        <v>68</v>
      </c>
      <c r="DW347" t="s">
        <v>68</v>
      </c>
      <c r="DX347">
        <v>1000</v>
      </c>
      <c r="EE347">
        <v>40658662</v>
      </c>
      <c r="EF347">
        <v>1</v>
      </c>
      <c r="EG347" t="s">
        <v>24</v>
      </c>
      <c r="EH347">
        <v>0</v>
      </c>
      <c r="EI347" t="s">
        <v>3</v>
      </c>
      <c r="EJ347">
        <v>4</v>
      </c>
      <c r="EK347">
        <v>1</v>
      </c>
      <c r="EL347" t="s">
        <v>40</v>
      </c>
      <c r="EM347" t="s">
        <v>26</v>
      </c>
      <c r="EO347" t="s">
        <v>3</v>
      </c>
      <c r="EQ347">
        <v>0</v>
      </c>
      <c r="ER347">
        <v>57.83</v>
      </c>
      <c r="ES347">
        <v>0</v>
      </c>
      <c r="ET347">
        <v>57.83</v>
      </c>
      <c r="EU347">
        <v>31.44</v>
      </c>
      <c r="EV347">
        <v>0</v>
      </c>
      <c r="EW347">
        <v>0</v>
      </c>
      <c r="EX347">
        <v>0</v>
      </c>
      <c r="EY347">
        <v>0</v>
      </c>
      <c r="FQ347">
        <v>0</v>
      </c>
      <c r="FR347">
        <f t="shared" si="297"/>
        <v>0</v>
      </c>
      <c r="FS347">
        <v>0</v>
      </c>
      <c r="FX347">
        <v>0</v>
      </c>
      <c r="FY347">
        <v>0</v>
      </c>
      <c r="GA347" t="s">
        <v>3</v>
      </c>
      <c r="GD347">
        <v>1</v>
      </c>
      <c r="GF347">
        <v>-1870736679</v>
      </c>
      <c r="GG347">
        <v>2</v>
      </c>
      <c r="GH347">
        <v>1</v>
      </c>
      <c r="GI347">
        <v>-2</v>
      </c>
      <c r="GJ347">
        <v>0</v>
      </c>
      <c r="GK347">
        <v>0</v>
      </c>
      <c r="GL347">
        <f t="shared" si="298"/>
        <v>0</v>
      </c>
      <c r="GM347">
        <f>ROUND(O347+X347+Y347,2)+GX347</f>
        <v>1119.22</v>
      </c>
      <c r="GN347">
        <f>IF(OR(BI347=0,BI347=1),ROUND(O347+X347+Y347,2),0)</f>
        <v>0</v>
      </c>
      <c r="GO347">
        <f>IF(BI347=2,ROUND(O347+X347+Y347,2),0)</f>
        <v>0</v>
      </c>
      <c r="GP347">
        <f>IF(BI347=4,ROUND(O347+X347+Y347,2)+GX347,0)</f>
        <v>1119.22</v>
      </c>
      <c r="GR347">
        <v>0</v>
      </c>
      <c r="GS347">
        <v>3</v>
      </c>
      <c r="GT347">
        <v>0</v>
      </c>
      <c r="GU347" t="s">
        <v>3</v>
      </c>
      <c r="GV347">
        <f t="shared" si="299"/>
        <v>0</v>
      </c>
      <c r="GW347">
        <v>1</v>
      </c>
      <c r="GX347">
        <f t="shared" si="300"/>
        <v>0</v>
      </c>
      <c r="HA347">
        <v>0</v>
      </c>
      <c r="HB347">
        <v>0</v>
      </c>
      <c r="HC347">
        <f t="shared" si="301"/>
        <v>0</v>
      </c>
      <c r="IK347">
        <v>0</v>
      </c>
    </row>
    <row r="348" spans="1:245" x14ac:dyDescent="0.2">
      <c r="A348">
        <v>17</v>
      </c>
      <c r="B348">
        <v>1</v>
      </c>
      <c r="C348">
        <f>ROW(SmtRes!A165)</f>
        <v>165</v>
      </c>
      <c r="D348">
        <f>ROW(EtalonRes!A162)</f>
        <v>162</v>
      </c>
      <c r="E348" t="s">
        <v>256</v>
      </c>
      <c r="F348" t="s">
        <v>162</v>
      </c>
      <c r="G348" t="s">
        <v>163</v>
      </c>
      <c r="H348" t="s">
        <v>68</v>
      </c>
      <c r="I348">
        <f>ROUND(I344+I345,9)</f>
        <v>21.504000000000001</v>
      </c>
      <c r="J348">
        <v>0</v>
      </c>
      <c r="O348">
        <f t="shared" si="271"/>
        <v>30038.720000000001</v>
      </c>
      <c r="P348">
        <f t="shared" si="272"/>
        <v>0</v>
      </c>
      <c r="Q348">
        <f t="shared" si="273"/>
        <v>30038.720000000001</v>
      </c>
      <c r="R348">
        <f t="shared" si="274"/>
        <v>16329.92</v>
      </c>
      <c r="S348">
        <f t="shared" si="275"/>
        <v>0</v>
      </c>
      <c r="T348">
        <f t="shared" si="276"/>
        <v>0</v>
      </c>
      <c r="U348">
        <f t="shared" si="277"/>
        <v>0</v>
      </c>
      <c r="V348">
        <f t="shared" si="278"/>
        <v>0</v>
      </c>
      <c r="W348">
        <f t="shared" si="279"/>
        <v>0</v>
      </c>
      <c r="X348">
        <f t="shared" si="280"/>
        <v>0</v>
      </c>
      <c r="Y348">
        <f t="shared" si="281"/>
        <v>0</v>
      </c>
      <c r="AA348">
        <v>42184655</v>
      </c>
      <c r="AB348">
        <f t="shared" si="282"/>
        <v>1396.89</v>
      </c>
      <c r="AC348">
        <f>ROUND(((ES348*51)),6)</f>
        <v>0</v>
      </c>
      <c r="AD348">
        <f>ROUND(((((ET348*51))-((EU348*51)))+AE348),6)</f>
        <v>1396.89</v>
      </c>
      <c r="AE348">
        <f>ROUND(((EU348*51)),6)</f>
        <v>759.39</v>
      </c>
      <c r="AF348">
        <f>ROUND(((EV348*51)),6)</f>
        <v>0</v>
      </c>
      <c r="AG348">
        <f t="shared" si="284"/>
        <v>0</v>
      </c>
      <c r="AH348">
        <f>((EW348*51))</f>
        <v>0</v>
      </c>
      <c r="AI348">
        <f>((EX348*51))</f>
        <v>0</v>
      </c>
      <c r="AJ348">
        <f t="shared" si="286"/>
        <v>0</v>
      </c>
      <c r="AK348">
        <v>27.39</v>
      </c>
      <c r="AL348">
        <v>0</v>
      </c>
      <c r="AM348">
        <v>27.39</v>
      </c>
      <c r="AN348">
        <v>14.89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1</v>
      </c>
      <c r="AW348">
        <v>1</v>
      </c>
      <c r="AZ348">
        <v>1</v>
      </c>
      <c r="BA348">
        <v>1</v>
      </c>
      <c r="BB348">
        <v>1</v>
      </c>
      <c r="BC348">
        <v>1</v>
      </c>
      <c r="BD348" t="s">
        <v>3</v>
      </c>
      <c r="BE348" t="s">
        <v>3</v>
      </c>
      <c r="BF348" t="s">
        <v>3</v>
      </c>
      <c r="BG348" t="s">
        <v>3</v>
      </c>
      <c r="BH348">
        <v>0</v>
      </c>
      <c r="BI348">
        <v>4</v>
      </c>
      <c r="BJ348" t="s">
        <v>164</v>
      </c>
      <c r="BM348">
        <v>1</v>
      </c>
      <c r="BN348">
        <v>0</v>
      </c>
      <c r="BO348" t="s">
        <v>3</v>
      </c>
      <c r="BP348">
        <v>0</v>
      </c>
      <c r="BQ348">
        <v>1</v>
      </c>
      <c r="BR348">
        <v>0</v>
      </c>
      <c r="BS348">
        <v>1</v>
      </c>
      <c r="BT348">
        <v>1</v>
      </c>
      <c r="BU348">
        <v>1</v>
      </c>
      <c r="BV348">
        <v>1</v>
      </c>
      <c r="BW348">
        <v>1</v>
      </c>
      <c r="BX348">
        <v>1</v>
      </c>
      <c r="BY348" t="s">
        <v>3</v>
      </c>
      <c r="BZ348">
        <v>0</v>
      </c>
      <c r="CA348">
        <v>0</v>
      </c>
      <c r="CE348">
        <v>0</v>
      </c>
      <c r="CF348">
        <v>0</v>
      </c>
      <c r="CG348">
        <v>0</v>
      </c>
      <c r="CM348">
        <v>0</v>
      </c>
      <c r="CN348" t="s">
        <v>3</v>
      </c>
      <c r="CO348">
        <v>0</v>
      </c>
      <c r="CP348">
        <f t="shared" si="287"/>
        <v>30038.720000000001</v>
      </c>
      <c r="CQ348">
        <f t="shared" si="288"/>
        <v>0</v>
      </c>
      <c r="CR348">
        <f>(((((ET348*51))*BB348-((EU348*51))*BS348)+AE348*BS348)*AV348)</f>
        <v>1396.89</v>
      </c>
      <c r="CS348">
        <f t="shared" si="289"/>
        <v>759.39</v>
      </c>
      <c r="CT348">
        <f t="shared" si="290"/>
        <v>0</v>
      </c>
      <c r="CU348">
        <f t="shared" si="291"/>
        <v>0</v>
      </c>
      <c r="CV348">
        <f t="shared" si="292"/>
        <v>0</v>
      </c>
      <c r="CW348">
        <f t="shared" si="293"/>
        <v>0</v>
      </c>
      <c r="CX348">
        <f t="shared" si="294"/>
        <v>0</v>
      </c>
      <c r="CY348">
        <f t="shared" si="295"/>
        <v>0</v>
      </c>
      <c r="CZ348">
        <f t="shared" si="296"/>
        <v>0</v>
      </c>
      <c r="DC348" t="s">
        <v>3</v>
      </c>
      <c r="DD348" t="s">
        <v>165</v>
      </c>
      <c r="DE348" t="s">
        <v>165</v>
      </c>
      <c r="DF348" t="s">
        <v>165</v>
      </c>
      <c r="DG348" t="s">
        <v>165</v>
      </c>
      <c r="DH348" t="s">
        <v>3</v>
      </c>
      <c r="DI348" t="s">
        <v>165</v>
      </c>
      <c r="DJ348" t="s">
        <v>165</v>
      </c>
      <c r="DK348" t="s">
        <v>3</v>
      </c>
      <c r="DL348" t="s">
        <v>3</v>
      </c>
      <c r="DM348" t="s">
        <v>3</v>
      </c>
      <c r="DN348">
        <v>0</v>
      </c>
      <c r="DO348">
        <v>0</v>
      </c>
      <c r="DP348">
        <v>1</v>
      </c>
      <c r="DQ348">
        <v>1</v>
      </c>
      <c r="DU348">
        <v>1009</v>
      </c>
      <c r="DV348" t="s">
        <v>68</v>
      </c>
      <c r="DW348" t="s">
        <v>68</v>
      </c>
      <c r="DX348">
        <v>1000</v>
      </c>
      <c r="EE348">
        <v>40658662</v>
      </c>
      <c r="EF348">
        <v>1</v>
      </c>
      <c r="EG348" t="s">
        <v>24</v>
      </c>
      <c r="EH348">
        <v>0</v>
      </c>
      <c r="EI348" t="s">
        <v>3</v>
      </c>
      <c r="EJ348">
        <v>4</v>
      </c>
      <c r="EK348">
        <v>1</v>
      </c>
      <c r="EL348" t="s">
        <v>40</v>
      </c>
      <c r="EM348" t="s">
        <v>26</v>
      </c>
      <c r="EO348" t="s">
        <v>3</v>
      </c>
      <c r="EQ348">
        <v>0</v>
      </c>
      <c r="ER348">
        <v>27.39</v>
      </c>
      <c r="ES348">
        <v>0</v>
      </c>
      <c r="ET348">
        <v>27.39</v>
      </c>
      <c r="EU348">
        <v>14.89</v>
      </c>
      <c r="EV348">
        <v>0</v>
      </c>
      <c r="EW348">
        <v>0</v>
      </c>
      <c r="EX348">
        <v>0</v>
      </c>
      <c r="EY348">
        <v>0</v>
      </c>
      <c r="FQ348">
        <v>0</v>
      </c>
      <c r="FR348">
        <f t="shared" si="297"/>
        <v>0</v>
      </c>
      <c r="FS348">
        <v>0</v>
      </c>
      <c r="FX348">
        <v>0</v>
      </c>
      <c r="FY348">
        <v>0</v>
      </c>
      <c r="GA348" t="s">
        <v>3</v>
      </c>
      <c r="GD348">
        <v>1</v>
      </c>
      <c r="GF348">
        <v>972108674</v>
      </c>
      <c r="GG348">
        <v>2</v>
      </c>
      <c r="GH348">
        <v>1</v>
      </c>
      <c r="GI348">
        <v>-2</v>
      </c>
      <c r="GJ348">
        <v>0</v>
      </c>
      <c r="GK348">
        <v>0</v>
      </c>
      <c r="GL348">
        <f t="shared" si="298"/>
        <v>0</v>
      </c>
      <c r="GM348">
        <f>ROUND(O348+X348+Y348,2)+GX348</f>
        <v>30038.720000000001</v>
      </c>
      <c r="GN348">
        <f>IF(OR(BI348=0,BI348=1),ROUND(O348+X348+Y348,2),0)</f>
        <v>0</v>
      </c>
      <c r="GO348">
        <f>IF(BI348=2,ROUND(O348+X348+Y348,2),0)</f>
        <v>0</v>
      </c>
      <c r="GP348">
        <f>IF(BI348=4,ROUND(O348+X348+Y348,2)+GX348,0)</f>
        <v>30038.720000000001</v>
      </c>
      <c r="GR348">
        <v>0</v>
      </c>
      <c r="GS348">
        <v>3</v>
      </c>
      <c r="GT348">
        <v>0</v>
      </c>
      <c r="GU348" t="s">
        <v>3</v>
      </c>
      <c r="GV348">
        <f t="shared" si="299"/>
        <v>0</v>
      </c>
      <c r="GW348">
        <v>1</v>
      </c>
      <c r="GX348">
        <f t="shared" si="300"/>
        <v>0</v>
      </c>
      <c r="HA348">
        <v>0</v>
      </c>
      <c r="HB348">
        <v>0</v>
      </c>
      <c r="HC348">
        <f t="shared" si="301"/>
        <v>0</v>
      </c>
      <c r="IK348">
        <v>0</v>
      </c>
    </row>
    <row r="349" spans="1:245" x14ac:dyDescent="0.2">
      <c r="A349">
        <v>17</v>
      </c>
      <c r="B349">
        <v>1</v>
      </c>
      <c r="E349" t="s">
        <v>257</v>
      </c>
      <c r="F349" t="s">
        <v>47</v>
      </c>
      <c r="G349" t="s">
        <v>167</v>
      </c>
      <c r="H349" t="s">
        <v>68</v>
      </c>
      <c r="I349">
        <f>ROUND(I348,9)</f>
        <v>21.504000000000001</v>
      </c>
      <c r="J349">
        <v>0</v>
      </c>
      <c r="O349">
        <f t="shared" si="271"/>
        <v>3238.72</v>
      </c>
      <c r="P349">
        <f t="shared" si="272"/>
        <v>3238.72</v>
      </c>
      <c r="Q349">
        <f t="shared" si="273"/>
        <v>0</v>
      </c>
      <c r="R349">
        <f t="shared" si="274"/>
        <v>0</v>
      </c>
      <c r="S349">
        <f t="shared" si="275"/>
        <v>0</v>
      </c>
      <c r="T349">
        <f t="shared" si="276"/>
        <v>0</v>
      </c>
      <c r="U349">
        <f t="shared" si="277"/>
        <v>0</v>
      </c>
      <c r="V349">
        <f t="shared" si="278"/>
        <v>0</v>
      </c>
      <c r="W349">
        <f t="shared" si="279"/>
        <v>0</v>
      </c>
      <c r="X349">
        <f t="shared" si="280"/>
        <v>0</v>
      </c>
      <c r="Y349">
        <f t="shared" si="281"/>
        <v>0</v>
      </c>
      <c r="AA349">
        <v>42184655</v>
      </c>
      <c r="AB349">
        <f t="shared" si="282"/>
        <v>150.61000000000001</v>
      </c>
      <c r="AC349">
        <f>ROUND((ES349),6)</f>
        <v>150.61000000000001</v>
      </c>
      <c r="AD349">
        <f>ROUND((((ET349)-(EU349))+AE349),6)</f>
        <v>0</v>
      </c>
      <c r="AE349">
        <f t="shared" ref="AE349:AF351" si="302">ROUND((EU349),6)</f>
        <v>0</v>
      </c>
      <c r="AF349">
        <f t="shared" si="302"/>
        <v>0</v>
      </c>
      <c r="AG349">
        <f t="shared" si="284"/>
        <v>0</v>
      </c>
      <c r="AH349">
        <f t="shared" ref="AH349:AI351" si="303">(EW349)</f>
        <v>0</v>
      </c>
      <c r="AI349">
        <f t="shared" si="303"/>
        <v>0</v>
      </c>
      <c r="AJ349">
        <f t="shared" si="286"/>
        <v>0</v>
      </c>
      <c r="AK349">
        <v>150.61000000000001</v>
      </c>
      <c r="AL349">
        <v>150.61000000000001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1</v>
      </c>
      <c r="AW349">
        <v>1</v>
      </c>
      <c r="AZ349">
        <v>1</v>
      </c>
      <c r="BA349">
        <v>1</v>
      </c>
      <c r="BB349">
        <v>1</v>
      </c>
      <c r="BC349">
        <v>1</v>
      </c>
      <c r="BD349" t="s">
        <v>3</v>
      </c>
      <c r="BE349" t="s">
        <v>3</v>
      </c>
      <c r="BF349" t="s">
        <v>3</v>
      </c>
      <c r="BG349" t="s">
        <v>3</v>
      </c>
      <c r="BH349">
        <v>3</v>
      </c>
      <c r="BI349">
        <v>1</v>
      </c>
      <c r="BJ349" t="s">
        <v>3</v>
      </c>
      <c r="BM349">
        <v>6001</v>
      </c>
      <c r="BN349">
        <v>0</v>
      </c>
      <c r="BO349" t="s">
        <v>3</v>
      </c>
      <c r="BP349">
        <v>0</v>
      </c>
      <c r="BQ349">
        <v>0</v>
      </c>
      <c r="BR349">
        <v>0</v>
      </c>
      <c r="BS349">
        <v>1</v>
      </c>
      <c r="BT349">
        <v>1</v>
      </c>
      <c r="BU349">
        <v>1</v>
      </c>
      <c r="BV349">
        <v>1</v>
      </c>
      <c r="BW349">
        <v>1</v>
      </c>
      <c r="BX349">
        <v>1</v>
      </c>
      <c r="BY349" t="s">
        <v>3</v>
      </c>
      <c r="BZ349">
        <v>0</v>
      </c>
      <c r="CA349">
        <v>0</v>
      </c>
      <c r="CE349">
        <v>0</v>
      </c>
      <c r="CF349">
        <v>0</v>
      </c>
      <c r="CG349">
        <v>0</v>
      </c>
      <c r="CM349">
        <v>0</v>
      </c>
      <c r="CN349" t="s">
        <v>3</v>
      </c>
      <c r="CO349">
        <v>0</v>
      </c>
      <c r="CP349">
        <f t="shared" si="287"/>
        <v>3238.72</v>
      </c>
      <c r="CQ349">
        <f t="shared" si="288"/>
        <v>150.61000000000001</v>
      </c>
      <c r="CR349">
        <f>((((ET349)*BB349-(EU349)*BS349)+AE349*BS349)*AV349)</f>
        <v>0</v>
      </c>
      <c r="CS349">
        <f t="shared" si="289"/>
        <v>0</v>
      </c>
      <c r="CT349">
        <f t="shared" si="290"/>
        <v>0</v>
      </c>
      <c r="CU349">
        <f t="shared" si="291"/>
        <v>0</v>
      </c>
      <c r="CV349">
        <f t="shared" si="292"/>
        <v>0</v>
      </c>
      <c r="CW349">
        <f t="shared" si="293"/>
        <v>0</v>
      </c>
      <c r="CX349">
        <f t="shared" si="294"/>
        <v>0</v>
      </c>
      <c r="CY349">
        <f t="shared" si="295"/>
        <v>0</v>
      </c>
      <c r="CZ349">
        <f t="shared" si="296"/>
        <v>0</v>
      </c>
      <c r="DC349" t="s">
        <v>3</v>
      </c>
      <c r="DD349" t="s">
        <v>3</v>
      </c>
      <c r="DE349" t="s">
        <v>3</v>
      </c>
      <c r="DF349" t="s">
        <v>3</v>
      </c>
      <c r="DG349" t="s">
        <v>3</v>
      </c>
      <c r="DH349" t="s">
        <v>3</v>
      </c>
      <c r="DI349" t="s">
        <v>3</v>
      </c>
      <c r="DJ349" t="s">
        <v>3</v>
      </c>
      <c r="DK349" t="s">
        <v>3</v>
      </c>
      <c r="DL349" t="s">
        <v>3</v>
      </c>
      <c r="DM349" t="s">
        <v>3</v>
      </c>
      <c r="DN349">
        <v>0</v>
      </c>
      <c r="DO349">
        <v>0</v>
      </c>
      <c r="DP349">
        <v>1</v>
      </c>
      <c r="DQ349">
        <v>1</v>
      </c>
      <c r="DU349">
        <v>1009</v>
      </c>
      <c r="DV349" t="s">
        <v>68</v>
      </c>
      <c r="DW349" t="s">
        <v>68</v>
      </c>
      <c r="DX349">
        <v>1000</v>
      </c>
      <c r="EE349">
        <v>42086242</v>
      </c>
      <c r="EF349">
        <v>0</v>
      </c>
      <c r="EG349" t="s">
        <v>49</v>
      </c>
      <c r="EH349">
        <v>0</v>
      </c>
      <c r="EI349" t="s">
        <v>3</v>
      </c>
      <c r="EJ349">
        <v>1</v>
      </c>
      <c r="EK349">
        <v>6001</v>
      </c>
      <c r="EL349" t="s">
        <v>50</v>
      </c>
      <c r="EM349" t="s">
        <v>49</v>
      </c>
      <c r="EO349" t="s">
        <v>3</v>
      </c>
      <c r="EQ349">
        <v>0</v>
      </c>
      <c r="ER349">
        <v>150.61000000000001</v>
      </c>
      <c r="ES349">
        <v>150.61000000000001</v>
      </c>
      <c r="ET349">
        <v>0</v>
      </c>
      <c r="EU349">
        <v>0</v>
      </c>
      <c r="EV349">
        <v>0</v>
      </c>
      <c r="EW349">
        <v>0</v>
      </c>
      <c r="EX349">
        <v>0</v>
      </c>
      <c r="EY349">
        <v>0</v>
      </c>
      <c r="EZ349">
        <v>5</v>
      </c>
      <c r="FC349">
        <v>0</v>
      </c>
      <c r="FD349">
        <v>18</v>
      </c>
      <c r="FF349">
        <v>150.61000000000001</v>
      </c>
      <c r="FQ349">
        <v>0</v>
      </c>
      <c r="FR349">
        <f t="shared" si="297"/>
        <v>0</v>
      </c>
      <c r="FS349">
        <v>0</v>
      </c>
      <c r="FX349">
        <v>0</v>
      </c>
      <c r="FY349">
        <v>0</v>
      </c>
      <c r="GA349" t="s">
        <v>168</v>
      </c>
      <c r="GD349">
        <v>0</v>
      </c>
      <c r="GF349">
        <v>620836412</v>
      </c>
      <c r="GG349">
        <v>2</v>
      </c>
      <c r="GH349">
        <v>3</v>
      </c>
      <c r="GI349">
        <v>-2</v>
      </c>
      <c r="GJ349">
        <v>0</v>
      </c>
      <c r="GK349">
        <f>ROUND(R349*(R12)/100,2)</f>
        <v>0</v>
      </c>
      <c r="GL349">
        <f t="shared" si="298"/>
        <v>0</v>
      </c>
      <c r="GM349">
        <f>ROUND(O349+X349+Y349+GK349,2)+GX349</f>
        <v>3238.72</v>
      </c>
      <c r="GN349">
        <f>IF(OR(BI349=0,BI349=1),ROUND(O349+X349+Y349+GK349,2),0)</f>
        <v>3238.72</v>
      </c>
      <c r="GO349">
        <f>IF(BI349=2,ROUND(O349+X349+Y349+GK349,2),0)</f>
        <v>0</v>
      </c>
      <c r="GP349">
        <f>IF(BI349=4,ROUND(O349+X349+Y349+GK349,2)+GX349,0)</f>
        <v>0</v>
      </c>
      <c r="GR349">
        <v>1</v>
      </c>
      <c r="GS349">
        <v>1</v>
      </c>
      <c r="GT349">
        <v>0</v>
      </c>
      <c r="GU349" t="s">
        <v>3</v>
      </c>
      <c r="GV349">
        <f t="shared" si="299"/>
        <v>0</v>
      </c>
      <c r="GW349">
        <v>1</v>
      </c>
      <c r="GX349">
        <f t="shared" si="300"/>
        <v>0</v>
      </c>
      <c r="HA349">
        <v>0</v>
      </c>
      <c r="HB349">
        <v>0</v>
      </c>
      <c r="HC349">
        <f t="shared" si="301"/>
        <v>0</v>
      </c>
      <c r="IK349">
        <v>0</v>
      </c>
    </row>
    <row r="350" spans="1:245" x14ac:dyDescent="0.2">
      <c r="A350">
        <v>17</v>
      </c>
      <c r="B350">
        <v>1</v>
      </c>
      <c r="C350">
        <f>ROW(SmtRes!A173)</f>
        <v>173</v>
      </c>
      <c r="D350">
        <f>ROW(EtalonRes!A170)</f>
        <v>170</v>
      </c>
      <c r="E350" t="s">
        <v>258</v>
      </c>
      <c r="F350" t="s">
        <v>53</v>
      </c>
      <c r="G350" t="s">
        <v>54</v>
      </c>
      <c r="H350" t="s">
        <v>22</v>
      </c>
      <c r="I350">
        <f>ROUND((140*0.25*0.05)/100,9)</f>
        <v>1.7500000000000002E-2</v>
      </c>
      <c r="J350">
        <v>0</v>
      </c>
      <c r="O350">
        <f t="shared" si="271"/>
        <v>1327.62</v>
      </c>
      <c r="P350">
        <f t="shared" si="272"/>
        <v>1140.3399999999999</v>
      </c>
      <c r="Q350">
        <f t="shared" si="273"/>
        <v>133.04</v>
      </c>
      <c r="R350">
        <f t="shared" si="274"/>
        <v>56.4</v>
      </c>
      <c r="S350">
        <f t="shared" si="275"/>
        <v>54.24</v>
      </c>
      <c r="T350">
        <f t="shared" si="276"/>
        <v>0</v>
      </c>
      <c r="U350">
        <f t="shared" si="277"/>
        <v>0.2898</v>
      </c>
      <c r="V350">
        <f t="shared" si="278"/>
        <v>0</v>
      </c>
      <c r="W350">
        <f t="shared" si="279"/>
        <v>0</v>
      </c>
      <c r="X350">
        <f t="shared" si="280"/>
        <v>37.97</v>
      </c>
      <c r="Y350">
        <f t="shared" si="281"/>
        <v>5.42</v>
      </c>
      <c r="AA350">
        <v>42184655</v>
      </c>
      <c r="AB350">
        <f t="shared" si="282"/>
        <v>75863.820000000007</v>
      </c>
      <c r="AC350">
        <f>ROUND((ES350),6)</f>
        <v>65162.05</v>
      </c>
      <c r="AD350">
        <f>ROUND((((ET350)-(EU350))+AE350),6)</f>
        <v>7602.23</v>
      </c>
      <c r="AE350">
        <f t="shared" si="302"/>
        <v>3222.98</v>
      </c>
      <c r="AF350">
        <f t="shared" si="302"/>
        <v>3099.54</v>
      </c>
      <c r="AG350">
        <f t="shared" si="284"/>
        <v>0</v>
      </c>
      <c r="AH350">
        <f t="shared" si="303"/>
        <v>16.559999999999999</v>
      </c>
      <c r="AI350">
        <f t="shared" si="303"/>
        <v>0</v>
      </c>
      <c r="AJ350">
        <f t="shared" si="286"/>
        <v>0</v>
      </c>
      <c r="AK350">
        <v>75863.820000000007</v>
      </c>
      <c r="AL350">
        <v>65162.05</v>
      </c>
      <c r="AM350">
        <v>7602.23</v>
      </c>
      <c r="AN350">
        <v>3222.98</v>
      </c>
      <c r="AO350">
        <v>3099.54</v>
      </c>
      <c r="AP350">
        <v>0</v>
      </c>
      <c r="AQ350">
        <v>16.559999999999999</v>
      </c>
      <c r="AR350">
        <v>0</v>
      </c>
      <c r="AS350">
        <v>0</v>
      </c>
      <c r="AT350">
        <v>70</v>
      </c>
      <c r="AU350">
        <v>10</v>
      </c>
      <c r="AV350">
        <v>1</v>
      </c>
      <c r="AW350">
        <v>1</v>
      </c>
      <c r="AZ350">
        <v>1</v>
      </c>
      <c r="BA350">
        <v>1</v>
      </c>
      <c r="BB350">
        <v>1</v>
      </c>
      <c r="BC350">
        <v>1</v>
      </c>
      <c r="BD350" t="s">
        <v>3</v>
      </c>
      <c r="BE350" t="s">
        <v>3</v>
      </c>
      <c r="BF350" t="s">
        <v>3</v>
      </c>
      <c r="BG350" t="s">
        <v>3</v>
      </c>
      <c r="BH350">
        <v>0</v>
      </c>
      <c r="BI350">
        <v>4</v>
      </c>
      <c r="BJ350" t="s">
        <v>55</v>
      </c>
      <c r="BM350">
        <v>0</v>
      </c>
      <c r="BN350">
        <v>0</v>
      </c>
      <c r="BO350" t="s">
        <v>3</v>
      </c>
      <c r="BP350">
        <v>0</v>
      </c>
      <c r="BQ350">
        <v>1</v>
      </c>
      <c r="BR350">
        <v>0</v>
      </c>
      <c r="BS350">
        <v>1</v>
      </c>
      <c r="BT350">
        <v>1</v>
      </c>
      <c r="BU350">
        <v>1</v>
      </c>
      <c r="BV350">
        <v>1</v>
      </c>
      <c r="BW350">
        <v>1</v>
      </c>
      <c r="BX350">
        <v>1</v>
      </c>
      <c r="BY350" t="s">
        <v>3</v>
      </c>
      <c r="BZ350">
        <v>70</v>
      </c>
      <c r="CA350">
        <v>10</v>
      </c>
      <c r="CE350">
        <v>0</v>
      </c>
      <c r="CF350">
        <v>0</v>
      </c>
      <c r="CG350">
        <v>0</v>
      </c>
      <c r="CM350">
        <v>0</v>
      </c>
      <c r="CN350" t="s">
        <v>3</v>
      </c>
      <c r="CO350">
        <v>0</v>
      </c>
      <c r="CP350">
        <f t="shared" si="287"/>
        <v>1327.62</v>
      </c>
      <c r="CQ350">
        <f t="shared" si="288"/>
        <v>65162.05</v>
      </c>
      <c r="CR350">
        <f>((((ET350)*BB350-(EU350)*BS350)+AE350*BS350)*AV350)</f>
        <v>7602.23</v>
      </c>
      <c r="CS350">
        <f t="shared" si="289"/>
        <v>3222.98</v>
      </c>
      <c r="CT350">
        <f t="shared" si="290"/>
        <v>3099.54</v>
      </c>
      <c r="CU350">
        <f t="shared" si="291"/>
        <v>0</v>
      </c>
      <c r="CV350">
        <f t="shared" si="292"/>
        <v>16.559999999999999</v>
      </c>
      <c r="CW350">
        <f t="shared" si="293"/>
        <v>0</v>
      </c>
      <c r="CX350">
        <f t="shared" si="294"/>
        <v>0</v>
      </c>
      <c r="CY350">
        <f t="shared" si="295"/>
        <v>37.968000000000004</v>
      </c>
      <c r="CZ350">
        <f t="shared" si="296"/>
        <v>5.4239999999999995</v>
      </c>
      <c r="DC350" t="s">
        <v>3</v>
      </c>
      <c r="DD350" t="s">
        <v>3</v>
      </c>
      <c r="DE350" t="s">
        <v>3</v>
      </c>
      <c r="DF350" t="s">
        <v>3</v>
      </c>
      <c r="DG350" t="s">
        <v>3</v>
      </c>
      <c r="DH350" t="s">
        <v>3</v>
      </c>
      <c r="DI350" t="s">
        <v>3</v>
      </c>
      <c r="DJ350" t="s">
        <v>3</v>
      </c>
      <c r="DK350" t="s">
        <v>3</v>
      </c>
      <c r="DL350" t="s">
        <v>3</v>
      </c>
      <c r="DM350" t="s">
        <v>3</v>
      </c>
      <c r="DN350">
        <v>0</v>
      </c>
      <c r="DO350">
        <v>0</v>
      </c>
      <c r="DP350">
        <v>1</v>
      </c>
      <c r="DQ350">
        <v>1</v>
      </c>
      <c r="DU350">
        <v>1007</v>
      </c>
      <c r="DV350" t="s">
        <v>22</v>
      </c>
      <c r="DW350" t="s">
        <v>22</v>
      </c>
      <c r="DX350">
        <v>100</v>
      </c>
      <c r="EE350">
        <v>40658659</v>
      </c>
      <c r="EF350">
        <v>1</v>
      </c>
      <c r="EG350" t="s">
        <v>24</v>
      </c>
      <c r="EH350">
        <v>0</v>
      </c>
      <c r="EI350" t="s">
        <v>3</v>
      </c>
      <c r="EJ350">
        <v>4</v>
      </c>
      <c r="EK350">
        <v>0</v>
      </c>
      <c r="EL350" t="s">
        <v>25</v>
      </c>
      <c r="EM350" t="s">
        <v>26</v>
      </c>
      <c r="EO350" t="s">
        <v>3</v>
      </c>
      <c r="EQ350">
        <v>0</v>
      </c>
      <c r="ER350">
        <v>75863.820000000007</v>
      </c>
      <c r="ES350">
        <v>65162.05</v>
      </c>
      <c r="ET350">
        <v>7602.23</v>
      </c>
      <c r="EU350">
        <v>3222.98</v>
      </c>
      <c r="EV350">
        <v>3099.54</v>
      </c>
      <c r="EW350">
        <v>16.559999999999999</v>
      </c>
      <c r="EX350">
        <v>0</v>
      </c>
      <c r="EY350">
        <v>0</v>
      </c>
      <c r="FQ350">
        <v>0</v>
      </c>
      <c r="FR350">
        <f t="shared" si="297"/>
        <v>0</v>
      </c>
      <c r="FS350">
        <v>0</v>
      </c>
      <c r="FX350">
        <v>70</v>
      </c>
      <c r="FY350">
        <v>10</v>
      </c>
      <c r="GA350" t="s">
        <v>3</v>
      </c>
      <c r="GD350">
        <v>0</v>
      </c>
      <c r="GF350">
        <v>2135562757</v>
      </c>
      <c r="GG350">
        <v>2</v>
      </c>
      <c r="GH350">
        <v>1</v>
      </c>
      <c r="GI350">
        <v>-2</v>
      </c>
      <c r="GJ350">
        <v>0</v>
      </c>
      <c r="GK350">
        <f>ROUND(R350*(R12)/100,2)</f>
        <v>60.91</v>
      </c>
      <c r="GL350">
        <f t="shared" si="298"/>
        <v>0</v>
      </c>
      <c r="GM350">
        <f>ROUND(O350+X350+Y350+GK350,2)+GX350</f>
        <v>1431.92</v>
      </c>
      <c r="GN350">
        <f>IF(OR(BI350=0,BI350=1),ROUND(O350+X350+Y350+GK350,2),0)</f>
        <v>0</v>
      </c>
      <c r="GO350">
        <f>IF(BI350=2,ROUND(O350+X350+Y350+GK350,2),0)</f>
        <v>0</v>
      </c>
      <c r="GP350">
        <f>IF(BI350=4,ROUND(O350+X350+Y350+GK350,2)+GX350,0)</f>
        <v>1431.92</v>
      </c>
      <c r="GR350">
        <v>0</v>
      </c>
      <c r="GS350">
        <v>3</v>
      </c>
      <c r="GT350">
        <v>0</v>
      </c>
      <c r="GU350" t="s">
        <v>3</v>
      </c>
      <c r="GV350">
        <f t="shared" si="299"/>
        <v>0</v>
      </c>
      <c r="GW350">
        <v>1</v>
      </c>
      <c r="GX350">
        <f t="shared" si="300"/>
        <v>0</v>
      </c>
      <c r="HA350">
        <v>0</v>
      </c>
      <c r="HB350">
        <v>0</v>
      </c>
      <c r="HC350">
        <f t="shared" si="301"/>
        <v>0</v>
      </c>
      <c r="IK350">
        <v>0</v>
      </c>
    </row>
    <row r="351" spans="1:245" x14ac:dyDescent="0.2">
      <c r="A351">
        <v>17</v>
      </c>
      <c r="B351">
        <v>1</v>
      </c>
      <c r="C351">
        <f>ROW(SmtRes!A178)</f>
        <v>178</v>
      </c>
      <c r="D351">
        <f>ROW(EtalonRes!A175)</f>
        <v>175</v>
      </c>
      <c r="E351" t="s">
        <v>259</v>
      </c>
      <c r="F351" t="s">
        <v>171</v>
      </c>
      <c r="G351" t="s">
        <v>172</v>
      </c>
      <c r="H351" t="s">
        <v>143</v>
      </c>
      <c r="I351">
        <f>ROUND(140/100,9)</f>
        <v>1.4</v>
      </c>
      <c r="J351">
        <v>0</v>
      </c>
      <c r="O351">
        <f t="shared" si="271"/>
        <v>66217.899999999994</v>
      </c>
      <c r="P351">
        <f t="shared" si="272"/>
        <v>45251.360000000001</v>
      </c>
      <c r="Q351">
        <f t="shared" si="273"/>
        <v>268.08999999999997</v>
      </c>
      <c r="R351">
        <f t="shared" si="274"/>
        <v>145.54</v>
      </c>
      <c r="S351">
        <f t="shared" si="275"/>
        <v>20698.45</v>
      </c>
      <c r="T351">
        <f t="shared" si="276"/>
        <v>0</v>
      </c>
      <c r="U351">
        <f t="shared" si="277"/>
        <v>102.14399999999999</v>
      </c>
      <c r="V351">
        <f t="shared" si="278"/>
        <v>0</v>
      </c>
      <c r="W351">
        <f t="shared" si="279"/>
        <v>0</v>
      </c>
      <c r="X351">
        <f t="shared" si="280"/>
        <v>14488.92</v>
      </c>
      <c r="Y351">
        <f t="shared" si="281"/>
        <v>2069.85</v>
      </c>
      <c r="AA351">
        <v>42184655</v>
      </c>
      <c r="AB351">
        <f t="shared" si="282"/>
        <v>47298.5</v>
      </c>
      <c r="AC351">
        <f>ROUND((ES351),6)</f>
        <v>32322.400000000001</v>
      </c>
      <c r="AD351">
        <f>ROUND((((ET351)-(EU351))+AE351),6)</f>
        <v>191.49</v>
      </c>
      <c r="AE351">
        <f t="shared" si="302"/>
        <v>103.96</v>
      </c>
      <c r="AF351">
        <f t="shared" si="302"/>
        <v>14784.61</v>
      </c>
      <c r="AG351">
        <f t="shared" si="284"/>
        <v>0</v>
      </c>
      <c r="AH351">
        <f t="shared" si="303"/>
        <v>72.959999999999994</v>
      </c>
      <c r="AI351">
        <f t="shared" si="303"/>
        <v>0</v>
      </c>
      <c r="AJ351">
        <f t="shared" si="286"/>
        <v>0</v>
      </c>
      <c r="AK351">
        <v>47298.5</v>
      </c>
      <c r="AL351">
        <v>32322.400000000001</v>
      </c>
      <c r="AM351">
        <v>191.49</v>
      </c>
      <c r="AN351">
        <v>103.96</v>
      </c>
      <c r="AO351">
        <v>14784.61</v>
      </c>
      <c r="AP351">
        <v>0</v>
      </c>
      <c r="AQ351">
        <v>72.959999999999994</v>
      </c>
      <c r="AR351">
        <v>0</v>
      </c>
      <c r="AS351">
        <v>0</v>
      </c>
      <c r="AT351">
        <v>70</v>
      </c>
      <c r="AU351">
        <v>10</v>
      </c>
      <c r="AV351">
        <v>1</v>
      </c>
      <c r="AW351">
        <v>1</v>
      </c>
      <c r="AZ351">
        <v>1</v>
      </c>
      <c r="BA351">
        <v>1</v>
      </c>
      <c r="BB351">
        <v>1</v>
      </c>
      <c r="BC351">
        <v>1</v>
      </c>
      <c r="BD351" t="s">
        <v>3</v>
      </c>
      <c r="BE351" t="s">
        <v>3</v>
      </c>
      <c r="BF351" t="s">
        <v>3</v>
      </c>
      <c r="BG351" t="s">
        <v>3</v>
      </c>
      <c r="BH351">
        <v>0</v>
      </c>
      <c r="BI351">
        <v>4</v>
      </c>
      <c r="BJ351" t="s">
        <v>173</v>
      </c>
      <c r="BM351">
        <v>0</v>
      </c>
      <c r="BN351">
        <v>0</v>
      </c>
      <c r="BO351" t="s">
        <v>3</v>
      </c>
      <c r="BP351">
        <v>0</v>
      </c>
      <c r="BQ351">
        <v>1</v>
      </c>
      <c r="BR351">
        <v>0</v>
      </c>
      <c r="BS351">
        <v>1</v>
      </c>
      <c r="BT351">
        <v>1</v>
      </c>
      <c r="BU351">
        <v>1</v>
      </c>
      <c r="BV351">
        <v>1</v>
      </c>
      <c r="BW351">
        <v>1</v>
      </c>
      <c r="BX351">
        <v>1</v>
      </c>
      <c r="BY351" t="s">
        <v>3</v>
      </c>
      <c r="BZ351">
        <v>70</v>
      </c>
      <c r="CA351">
        <v>10</v>
      </c>
      <c r="CE351">
        <v>0</v>
      </c>
      <c r="CF351">
        <v>0</v>
      </c>
      <c r="CG351">
        <v>0</v>
      </c>
      <c r="CM351">
        <v>0</v>
      </c>
      <c r="CN351" t="s">
        <v>3</v>
      </c>
      <c r="CO351">
        <v>0</v>
      </c>
      <c r="CP351">
        <f t="shared" si="287"/>
        <v>66217.899999999994</v>
      </c>
      <c r="CQ351">
        <f t="shared" si="288"/>
        <v>32322.400000000001</v>
      </c>
      <c r="CR351">
        <f>((((ET351)*BB351-(EU351)*BS351)+AE351*BS351)*AV351)</f>
        <v>191.49</v>
      </c>
      <c r="CS351">
        <f t="shared" si="289"/>
        <v>103.96</v>
      </c>
      <c r="CT351">
        <f t="shared" si="290"/>
        <v>14784.61</v>
      </c>
      <c r="CU351">
        <f t="shared" si="291"/>
        <v>0</v>
      </c>
      <c r="CV351">
        <f t="shared" si="292"/>
        <v>72.959999999999994</v>
      </c>
      <c r="CW351">
        <f t="shared" si="293"/>
        <v>0</v>
      </c>
      <c r="CX351">
        <f t="shared" si="294"/>
        <v>0</v>
      </c>
      <c r="CY351">
        <f t="shared" si="295"/>
        <v>14488.915000000001</v>
      </c>
      <c r="CZ351">
        <f t="shared" si="296"/>
        <v>2069.8449999999998</v>
      </c>
      <c r="DC351" t="s">
        <v>3</v>
      </c>
      <c r="DD351" t="s">
        <v>3</v>
      </c>
      <c r="DE351" t="s">
        <v>3</v>
      </c>
      <c r="DF351" t="s">
        <v>3</v>
      </c>
      <c r="DG351" t="s">
        <v>3</v>
      </c>
      <c r="DH351" t="s">
        <v>3</v>
      </c>
      <c r="DI351" t="s">
        <v>3</v>
      </c>
      <c r="DJ351" t="s">
        <v>3</v>
      </c>
      <c r="DK351" t="s">
        <v>3</v>
      </c>
      <c r="DL351" t="s">
        <v>3</v>
      </c>
      <c r="DM351" t="s">
        <v>3</v>
      </c>
      <c r="DN351">
        <v>0</v>
      </c>
      <c r="DO351">
        <v>0</v>
      </c>
      <c r="DP351">
        <v>1</v>
      </c>
      <c r="DQ351">
        <v>1</v>
      </c>
      <c r="DU351">
        <v>1003</v>
      </c>
      <c r="DV351" t="s">
        <v>143</v>
      </c>
      <c r="DW351" t="s">
        <v>143</v>
      </c>
      <c r="DX351">
        <v>100</v>
      </c>
      <c r="EE351">
        <v>40658659</v>
      </c>
      <c r="EF351">
        <v>1</v>
      </c>
      <c r="EG351" t="s">
        <v>24</v>
      </c>
      <c r="EH351">
        <v>0</v>
      </c>
      <c r="EI351" t="s">
        <v>3</v>
      </c>
      <c r="EJ351">
        <v>4</v>
      </c>
      <c r="EK351">
        <v>0</v>
      </c>
      <c r="EL351" t="s">
        <v>25</v>
      </c>
      <c r="EM351" t="s">
        <v>26</v>
      </c>
      <c r="EO351" t="s">
        <v>3</v>
      </c>
      <c r="EQ351">
        <v>0</v>
      </c>
      <c r="ER351">
        <v>47298.5</v>
      </c>
      <c r="ES351">
        <v>32322.400000000001</v>
      </c>
      <c r="ET351">
        <v>191.49</v>
      </c>
      <c r="EU351">
        <v>103.96</v>
      </c>
      <c r="EV351">
        <v>14784.61</v>
      </c>
      <c r="EW351">
        <v>72.959999999999994</v>
      </c>
      <c r="EX351">
        <v>0</v>
      </c>
      <c r="EY351">
        <v>0</v>
      </c>
      <c r="FQ351">
        <v>0</v>
      </c>
      <c r="FR351">
        <f t="shared" si="297"/>
        <v>0</v>
      </c>
      <c r="FS351">
        <v>0</v>
      </c>
      <c r="FX351">
        <v>70</v>
      </c>
      <c r="FY351">
        <v>10</v>
      </c>
      <c r="GA351" t="s">
        <v>3</v>
      </c>
      <c r="GD351">
        <v>0</v>
      </c>
      <c r="GF351">
        <v>-881965415</v>
      </c>
      <c r="GG351">
        <v>2</v>
      </c>
      <c r="GH351">
        <v>1</v>
      </c>
      <c r="GI351">
        <v>-2</v>
      </c>
      <c r="GJ351">
        <v>0</v>
      </c>
      <c r="GK351">
        <f>ROUND(R351*(R12)/100,2)</f>
        <v>157.18</v>
      </c>
      <c r="GL351">
        <f t="shared" si="298"/>
        <v>0</v>
      </c>
      <c r="GM351">
        <f>ROUND(O351+X351+Y351+GK351,2)+GX351</f>
        <v>82933.850000000006</v>
      </c>
      <c r="GN351">
        <f>IF(OR(BI351=0,BI351=1),ROUND(O351+X351+Y351+GK351,2),0)</f>
        <v>0</v>
      </c>
      <c r="GO351">
        <f>IF(BI351=2,ROUND(O351+X351+Y351+GK351,2),0)</f>
        <v>0</v>
      </c>
      <c r="GP351">
        <f>IF(BI351=4,ROUND(O351+X351+Y351+GK351,2)+GX351,0)</f>
        <v>82933.850000000006</v>
      </c>
      <c r="GR351">
        <v>0</v>
      </c>
      <c r="GS351">
        <v>3</v>
      </c>
      <c r="GT351">
        <v>0</v>
      </c>
      <c r="GU351" t="s">
        <v>3</v>
      </c>
      <c r="GV351">
        <f t="shared" si="299"/>
        <v>0</v>
      </c>
      <c r="GW351">
        <v>1</v>
      </c>
      <c r="GX351">
        <f t="shared" si="300"/>
        <v>0</v>
      </c>
      <c r="HA351">
        <v>0</v>
      </c>
      <c r="HB351">
        <v>0</v>
      </c>
      <c r="HC351">
        <f t="shared" si="301"/>
        <v>0</v>
      </c>
      <c r="IK351">
        <v>0</v>
      </c>
    </row>
    <row r="353" spans="1:206" x14ac:dyDescent="0.2">
      <c r="A353" s="2">
        <v>51</v>
      </c>
      <c r="B353" s="2">
        <f>B339</f>
        <v>1</v>
      </c>
      <c r="C353" s="2">
        <f>A339</f>
        <v>4</v>
      </c>
      <c r="D353" s="2">
        <f>ROW(A339)</f>
        <v>339</v>
      </c>
      <c r="E353" s="2"/>
      <c r="F353" s="2" t="str">
        <f>IF(F339&lt;&gt;"",F339,"")</f>
        <v>Новый раздел</v>
      </c>
      <c r="G353" s="2" t="str">
        <f>IF(G339&lt;&gt;"",G339,"")</f>
        <v xml:space="preserve">28. Замена/ устройство бортового камня  садового (для дорожно-тропиночной сети) </v>
      </c>
      <c r="H353" s="2">
        <v>0</v>
      </c>
      <c r="I353" s="2"/>
      <c r="J353" s="2"/>
      <c r="K353" s="2"/>
      <c r="L353" s="2"/>
      <c r="M353" s="2"/>
      <c r="N353" s="2"/>
      <c r="O353" s="2">
        <f t="shared" ref="O353:T353" si="304">ROUND(AB353,2)</f>
        <v>125828.6</v>
      </c>
      <c r="P353" s="2">
        <f t="shared" si="304"/>
        <v>49630.42</v>
      </c>
      <c r="Q353" s="2">
        <f t="shared" si="304"/>
        <v>33468.97</v>
      </c>
      <c r="R353" s="2">
        <f t="shared" si="304"/>
        <v>17834.36</v>
      </c>
      <c r="S353" s="2">
        <f t="shared" si="304"/>
        <v>42729.21</v>
      </c>
      <c r="T353" s="2">
        <f t="shared" si="304"/>
        <v>0</v>
      </c>
      <c r="U353" s="2">
        <f>AH353</f>
        <v>212.00720799999999</v>
      </c>
      <c r="V353" s="2">
        <f>AI353</f>
        <v>0</v>
      </c>
      <c r="W353" s="2">
        <f>ROUND(AJ353,2)</f>
        <v>0</v>
      </c>
      <c r="X353" s="2">
        <f>ROUND(AK353,2)</f>
        <v>29910.46</v>
      </c>
      <c r="Y353" s="2">
        <f>ROUND(AL353,2)</f>
        <v>4272.92</v>
      </c>
      <c r="Z353" s="2"/>
      <c r="AA353" s="2"/>
      <c r="AB353" s="2">
        <f>ROUND(SUMIF(AA343:AA351,"=42184655",O343:O351),2)</f>
        <v>125828.6</v>
      </c>
      <c r="AC353" s="2">
        <f>ROUND(SUMIF(AA343:AA351,"=42184655",P343:P351),2)</f>
        <v>49630.42</v>
      </c>
      <c r="AD353" s="2">
        <f>ROUND(SUMIF(AA343:AA351,"=42184655",Q343:Q351),2)</f>
        <v>33468.97</v>
      </c>
      <c r="AE353" s="2">
        <f>ROUND(SUMIF(AA343:AA351,"=42184655",R343:R351),2)</f>
        <v>17834.36</v>
      </c>
      <c r="AF353" s="2">
        <f>ROUND(SUMIF(AA343:AA351,"=42184655",S343:S351),2)</f>
        <v>42729.21</v>
      </c>
      <c r="AG353" s="2">
        <f>ROUND(SUMIF(AA343:AA351,"=42184655",T343:T351),2)</f>
        <v>0</v>
      </c>
      <c r="AH353" s="2">
        <f>SUMIF(AA343:AA351,"=42184655",U343:U351)</f>
        <v>212.00720799999999</v>
      </c>
      <c r="AI353" s="2">
        <f>SUMIF(AA343:AA351,"=42184655",V343:V351)</f>
        <v>0</v>
      </c>
      <c r="AJ353" s="2">
        <f>ROUND(SUMIF(AA343:AA351,"=42184655",W343:W351),2)</f>
        <v>0</v>
      </c>
      <c r="AK353" s="2">
        <f>ROUND(SUMIF(AA343:AA351,"=42184655",X343:X351),2)</f>
        <v>29910.46</v>
      </c>
      <c r="AL353" s="2">
        <f>ROUND(SUMIF(AA343:AA351,"=42184655",Y343:Y351),2)</f>
        <v>4272.92</v>
      </c>
      <c r="AM353" s="2"/>
      <c r="AN353" s="2"/>
      <c r="AO353" s="2">
        <f t="shared" ref="AO353:BC353" si="305">ROUND(BX353,2)</f>
        <v>0</v>
      </c>
      <c r="AP353" s="2">
        <f t="shared" si="305"/>
        <v>0</v>
      </c>
      <c r="AQ353" s="2">
        <f t="shared" si="305"/>
        <v>0</v>
      </c>
      <c r="AR353" s="2">
        <f t="shared" si="305"/>
        <v>160770.18</v>
      </c>
      <c r="AS353" s="2">
        <f t="shared" si="305"/>
        <v>3238.72</v>
      </c>
      <c r="AT353" s="2">
        <f t="shared" si="305"/>
        <v>0</v>
      </c>
      <c r="AU353" s="2">
        <f t="shared" si="305"/>
        <v>157531.46</v>
      </c>
      <c r="AV353" s="2">
        <f t="shared" si="305"/>
        <v>49630.42</v>
      </c>
      <c r="AW353" s="2">
        <f t="shared" si="305"/>
        <v>49630.42</v>
      </c>
      <c r="AX353" s="2">
        <f t="shared" si="305"/>
        <v>0</v>
      </c>
      <c r="AY353" s="2">
        <f t="shared" si="305"/>
        <v>49630.42</v>
      </c>
      <c r="AZ353" s="2">
        <f t="shared" si="305"/>
        <v>0</v>
      </c>
      <c r="BA353" s="2">
        <f t="shared" si="305"/>
        <v>0</v>
      </c>
      <c r="BB353" s="2">
        <f t="shared" si="305"/>
        <v>0</v>
      </c>
      <c r="BC353" s="2">
        <f t="shared" si="305"/>
        <v>0</v>
      </c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>
        <f>ROUND(SUMIF(AA343:AA351,"=42184655",FQ343:FQ351),2)</f>
        <v>0</v>
      </c>
      <c r="BY353" s="2">
        <f>ROUND(SUMIF(AA343:AA351,"=42184655",FR343:FR351),2)</f>
        <v>0</v>
      </c>
      <c r="BZ353" s="2">
        <f>ROUND(SUMIF(AA343:AA351,"=42184655",GL343:GL351),2)</f>
        <v>0</v>
      </c>
      <c r="CA353" s="2">
        <f>ROUND(SUMIF(AA343:AA351,"=42184655",GM343:GM351),2)</f>
        <v>160770.18</v>
      </c>
      <c r="CB353" s="2">
        <f>ROUND(SUMIF(AA343:AA351,"=42184655",GN343:GN351),2)</f>
        <v>3238.72</v>
      </c>
      <c r="CC353" s="2">
        <f>ROUND(SUMIF(AA343:AA351,"=42184655",GO343:GO351),2)</f>
        <v>0</v>
      </c>
      <c r="CD353" s="2">
        <f>ROUND(SUMIF(AA343:AA351,"=42184655",GP343:GP351),2)</f>
        <v>157531.46</v>
      </c>
      <c r="CE353" s="2">
        <f>AC353-BX353</f>
        <v>49630.42</v>
      </c>
      <c r="CF353" s="2">
        <f>AC353-BY353</f>
        <v>49630.42</v>
      </c>
      <c r="CG353" s="2">
        <f>BX353-BZ353</f>
        <v>0</v>
      </c>
      <c r="CH353" s="2">
        <f>AC353-BX353-BY353+BZ353</f>
        <v>49630.42</v>
      </c>
      <c r="CI353" s="2">
        <f>BY353-BZ353</f>
        <v>0</v>
      </c>
      <c r="CJ353" s="2">
        <f>ROUND(SUMIF(AA343:AA351,"=42184655",GX343:GX351),2)</f>
        <v>0</v>
      </c>
      <c r="CK353" s="2">
        <f>ROUND(SUMIF(AA343:AA351,"=42184655",GY343:GY351),2)</f>
        <v>0</v>
      </c>
      <c r="CL353" s="2">
        <f>ROUND(SUMIF(AA343:AA351,"=42184655",GZ343:GZ351),2)</f>
        <v>0</v>
      </c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>
        <v>0</v>
      </c>
    </row>
    <row r="355" spans="1:206" x14ac:dyDescent="0.2">
      <c r="A355" s="4">
        <v>50</v>
      </c>
      <c r="B355" s="4">
        <v>0</v>
      </c>
      <c r="C355" s="4">
        <v>0</v>
      </c>
      <c r="D355" s="4">
        <v>1</v>
      </c>
      <c r="E355" s="4">
        <v>201</v>
      </c>
      <c r="F355" s="4">
        <f>ROUND(Source!O353,O355)</f>
        <v>125828.6</v>
      </c>
      <c r="G355" s="4" t="s">
        <v>71</v>
      </c>
      <c r="H355" s="4" t="s">
        <v>72</v>
      </c>
      <c r="I355" s="4"/>
      <c r="J355" s="4"/>
      <c r="K355" s="4">
        <v>201</v>
      </c>
      <c r="L355" s="4">
        <v>1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/>
    </row>
    <row r="356" spans="1:206" x14ac:dyDescent="0.2">
      <c r="A356" s="4">
        <v>50</v>
      </c>
      <c r="B356" s="4">
        <v>0</v>
      </c>
      <c r="C356" s="4">
        <v>0</v>
      </c>
      <c r="D356" s="4">
        <v>1</v>
      </c>
      <c r="E356" s="4">
        <v>202</v>
      </c>
      <c r="F356" s="4">
        <f>ROUND(Source!P353,O356)</f>
        <v>49630.42</v>
      </c>
      <c r="G356" s="4" t="s">
        <v>73</v>
      </c>
      <c r="H356" s="4" t="s">
        <v>74</v>
      </c>
      <c r="I356" s="4"/>
      <c r="J356" s="4"/>
      <c r="K356" s="4">
        <v>202</v>
      </c>
      <c r="L356" s="4">
        <v>2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/>
    </row>
    <row r="357" spans="1:206" x14ac:dyDescent="0.2">
      <c r="A357" s="4">
        <v>50</v>
      </c>
      <c r="B357" s="4">
        <v>0</v>
      </c>
      <c r="C357" s="4">
        <v>0</v>
      </c>
      <c r="D357" s="4">
        <v>1</v>
      </c>
      <c r="E357" s="4">
        <v>222</v>
      </c>
      <c r="F357" s="4">
        <f>ROUND(Source!AO353,O357)</f>
        <v>0</v>
      </c>
      <c r="G357" s="4" t="s">
        <v>75</v>
      </c>
      <c r="H357" s="4" t="s">
        <v>76</v>
      </c>
      <c r="I357" s="4"/>
      <c r="J357" s="4"/>
      <c r="K357" s="4">
        <v>222</v>
      </c>
      <c r="L357" s="4">
        <v>3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/>
    </row>
    <row r="358" spans="1:206" x14ac:dyDescent="0.2">
      <c r="A358" s="4">
        <v>50</v>
      </c>
      <c r="B358" s="4">
        <v>0</v>
      </c>
      <c r="C358" s="4">
        <v>0</v>
      </c>
      <c r="D358" s="4">
        <v>1</v>
      </c>
      <c r="E358" s="4">
        <v>225</v>
      </c>
      <c r="F358" s="4">
        <f>ROUND(Source!AV353,O358)</f>
        <v>49630.42</v>
      </c>
      <c r="G358" s="4" t="s">
        <v>77</v>
      </c>
      <c r="H358" s="4" t="s">
        <v>78</v>
      </c>
      <c r="I358" s="4"/>
      <c r="J358" s="4"/>
      <c r="K358" s="4">
        <v>225</v>
      </c>
      <c r="L358" s="4">
        <v>4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/>
    </row>
    <row r="359" spans="1:206" x14ac:dyDescent="0.2">
      <c r="A359" s="4">
        <v>50</v>
      </c>
      <c r="B359" s="4">
        <v>0</v>
      </c>
      <c r="C359" s="4">
        <v>0</v>
      </c>
      <c r="D359" s="4">
        <v>1</v>
      </c>
      <c r="E359" s="4">
        <v>226</v>
      </c>
      <c r="F359" s="4">
        <f>ROUND(Source!AW353,O359)</f>
        <v>49630.42</v>
      </c>
      <c r="G359" s="4" t="s">
        <v>79</v>
      </c>
      <c r="H359" s="4" t="s">
        <v>80</v>
      </c>
      <c r="I359" s="4"/>
      <c r="J359" s="4"/>
      <c r="K359" s="4">
        <v>226</v>
      </c>
      <c r="L359" s="4">
        <v>5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/>
    </row>
    <row r="360" spans="1:206" x14ac:dyDescent="0.2">
      <c r="A360" s="4">
        <v>50</v>
      </c>
      <c r="B360" s="4">
        <v>0</v>
      </c>
      <c r="C360" s="4">
        <v>0</v>
      </c>
      <c r="D360" s="4">
        <v>1</v>
      </c>
      <c r="E360" s="4">
        <v>227</v>
      </c>
      <c r="F360" s="4">
        <f>ROUND(Source!AX353,O360)</f>
        <v>0</v>
      </c>
      <c r="G360" s="4" t="s">
        <v>81</v>
      </c>
      <c r="H360" s="4" t="s">
        <v>82</v>
      </c>
      <c r="I360" s="4"/>
      <c r="J360" s="4"/>
      <c r="K360" s="4">
        <v>227</v>
      </c>
      <c r="L360" s="4">
        <v>6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06" x14ac:dyDescent="0.2">
      <c r="A361" s="4">
        <v>50</v>
      </c>
      <c r="B361" s="4">
        <v>0</v>
      </c>
      <c r="C361" s="4">
        <v>0</v>
      </c>
      <c r="D361" s="4">
        <v>1</v>
      </c>
      <c r="E361" s="4">
        <v>228</v>
      </c>
      <c r="F361" s="4">
        <f>ROUND(Source!AY353,O361)</f>
        <v>49630.42</v>
      </c>
      <c r="G361" s="4" t="s">
        <v>83</v>
      </c>
      <c r="H361" s="4" t="s">
        <v>84</v>
      </c>
      <c r="I361" s="4"/>
      <c r="J361" s="4"/>
      <c r="K361" s="4">
        <v>228</v>
      </c>
      <c r="L361" s="4">
        <v>7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06" x14ac:dyDescent="0.2">
      <c r="A362" s="4">
        <v>50</v>
      </c>
      <c r="B362" s="4">
        <v>0</v>
      </c>
      <c r="C362" s="4">
        <v>0</v>
      </c>
      <c r="D362" s="4">
        <v>1</v>
      </c>
      <c r="E362" s="4">
        <v>216</v>
      </c>
      <c r="F362" s="4">
        <f>ROUND(Source!AP353,O362)</f>
        <v>0</v>
      </c>
      <c r="G362" s="4" t="s">
        <v>85</v>
      </c>
      <c r="H362" s="4" t="s">
        <v>86</v>
      </c>
      <c r="I362" s="4"/>
      <c r="J362" s="4"/>
      <c r="K362" s="4">
        <v>216</v>
      </c>
      <c r="L362" s="4">
        <v>8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06" x14ac:dyDescent="0.2">
      <c r="A363" s="4">
        <v>50</v>
      </c>
      <c r="B363" s="4">
        <v>0</v>
      </c>
      <c r="C363" s="4">
        <v>0</v>
      </c>
      <c r="D363" s="4">
        <v>1</v>
      </c>
      <c r="E363" s="4">
        <v>223</v>
      </c>
      <c r="F363" s="4">
        <f>ROUND(Source!AQ353,O363)</f>
        <v>0</v>
      </c>
      <c r="G363" s="4" t="s">
        <v>87</v>
      </c>
      <c r="H363" s="4" t="s">
        <v>88</v>
      </c>
      <c r="I363" s="4"/>
      <c r="J363" s="4"/>
      <c r="K363" s="4">
        <v>223</v>
      </c>
      <c r="L363" s="4">
        <v>9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06" x14ac:dyDescent="0.2">
      <c r="A364" s="4">
        <v>50</v>
      </c>
      <c r="B364" s="4">
        <v>0</v>
      </c>
      <c r="C364" s="4">
        <v>0</v>
      </c>
      <c r="D364" s="4">
        <v>1</v>
      </c>
      <c r="E364" s="4">
        <v>229</v>
      </c>
      <c r="F364" s="4">
        <f>ROUND(Source!AZ353,O364)</f>
        <v>0</v>
      </c>
      <c r="G364" s="4" t="s">
        <v>89</v>
      </c>
      <c r="H364" s="4" t="s">
        <v>90</v>
      </c>
      <c r="I364" s="4"/>
      <c r="J364" s="4"/>
      <c r="K364" s="4">
        <v>229</v>
      </c>
      <c r="L364" s="4">
        <v>10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06" x14ac:dyDescent="0.2">
      <c r="A365" s="4">
        <v>50</v>
      </c>
      <c r="B365" s="4">
        <v>0</v>
      </c>
      <c r="C365" s="4">
        <v>0</v>
      </c>
      <c r="D365" s="4">
        <v>1</v>
      </c>
      <c r="E365" s="4">
        <v>203</v>
      </c>
      <c r="F365" s="4">
        <f>ROUND(Source!Q353,O365)</f>
        <v>33468.97</v>
      </c>
      <c r="G365" s="4" t="s">
        <v>91</v>
      </c>
      <c r="H365" s="4" t="s">
        <v>92</v>
      </c>
      <c r="I365" s="4"/>
      <c r="J365" s="4"/>
      <c r="K365" s="4">
        <v>203</v>
      </c>
      <c r="L365" s="4">
        <v>11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06" x14ac:dyDescent="0.2">
      <c r="A366" s="4">
        <v>50</v>
      </c>
      <c r="B366" s="4">
        <v>0</v>
      </c>
      <c r="C366" s="4">
        <v>0</v>
      </c>
      <c r="D366" s="4">
        <v>1</v>
      </c>
      <c r="E366" s="4">
        <v>231</v>
      </c>
      <c r="F366" s="4">
        <f>ROUND(Source!BB353,O366)</f>
        <v>0</v>
      </c>
      <c r="G366" s="4" t="s">
        <v>93</v>
      </c>
      <c r="H366" s="4" t="s">
        <v>94</v>
      </c>
      <c r="I366" s="4"/>
      <c r="J366" s="4"/>
      <c r="K366" s="4">
        <v>231</v>
      </c>
      <c r="L366" s="4">
        <v>12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06" x14ac:dyDescent="0.2">
      <c r="A367" s="4">
        <v>50</v>
      </c>
      <c r="B367" s="4">
        <v>0</v>
      </c>
      <c r="C367" s="4">
        <v>0</v>
      </c>
      <c r="D367" s="4">
        <v>1</v>
      </c>
      <c r="E367" s="4">
        <v>204</v>
      </c>
      <c r="F367" s="4">
        <f>ROUND(Source!R353,O367)</f>
        <v>17834.36</v>
      </c>
      <c r="G367" s="4" t="s">
        <v>95</v>
      </c>
      <c r="H367" s="4" t="s">
        <v>96</v>
      </c>
      <c r="I367" s="4"/>
      <c r="J367" s="4"/>
      <c r="K367" s="4">
        <v>204</v>
      </c>
      <c r="L367" s="4">
        <v>13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06" x14ac:dyDescent="0.2">
      <c r="A368" s="4">
        <v>50</v>
      </c>
      <c r="B368" s="4">
        <v>0</v>
      </c>
      <c r="C368" s="4">
        <v>0</v>
      </c>
      <c r="D368" s="4">
        <v>1</v>
      </c>
      <c r="E368" s="4">
        <v>205</v>
      </c>
      <c r="F368" s="4">
        <f>ROUND(Source!S353,O368)</f>
        <v>42729.21</v>
      </c>
      <c r="G368" s="4" t="s">
        <v>97</v>
      </c>
      <c r="H368" s="4" t="s">
        <v>98</v>
      </c>
      <c r="I368" s="4"/>
      <c r="J368" s="4"/>
      <c r="K368" s="4">
        <v>205</v>
      </c>
      <c r="L368" s="4">
        <v>14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06" x14ac:dyDescent="0.2">
      <c r="A369" s="4">
        <v>50</v>
      </c>
      <c r="B369" s="4">
        <v>0</v>
      </c>
      <c r="C369" s="4">
        <v>0</v>
      </c>
      <c r="D369" s="4">
        <v>1</v>
      </c>
      <c r="E369" s="4">
        <v>232</v>
      </c>
      <c r="F369" s="4">
        <f>ROUND(Source!BC353,O369)</f>
        <v>0</v>
      </c>
      <c r="G369" s="4" t="s">
        <v>99</v>
      </c>
      <c r="H369" s="4" t="s">
        <v>100</v>
      </c>
      <c r="I369" s="4"/>
      <c r="J369" s="4"/>
      <c r="K369" s="4">
        <v>232</v>
      </c>
      <c r="L369" s="4">
        <v>15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06" x14ac:dyDescent="0.2">
      <c r="A370" s="4">
        <v>50</v>
      </c>
      <c r="B370" s="4">
        <v>0</v>
      </c>
      <c r="C370" s="4">
        <v>0</v>
      </c>
      <c r="D370" s="4">
        <v>1</v>
      </c>
      <c r="E370" s="4">
        <v>214</v>
      </c>
      <c r="F370" s="4">
        <f>ROUND(Source!AS353,O370)</f>
        <v>3238.72</v>
      </c>
      <c r="G370" s="4" t="s">
        <v>101</v>
      </c>
      <c r="H370" s="4" t="s">
        <v>102</v>
      </c>
      <c r="I370" s="4"/>
      <c r="J370" s="4"/>
      <c r="K370" s="4">
        <v>214</v>
      </c>
      <c r="L370" s="4">
        <v>16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06" x14ac:dyDescent="0.2">
      <c r="A371" s="4">
        <v>50</v>
      </c>
      <c r="B371" s="4">
        <v>0</v>
      </c>
      <c r="C371" s="4">
        <v>0</v>
      </c>
      <c r="D371" s="4">
        <v>1</v>
      </c>
      <c r="E371" s="4">
        <v>215</v>
      </c>
      <c r="F371" s="4">
        <f>ROUND(Source!AT353,O371)</f>
        <v>0</v>
      </c>
      <c r="G371" s="4" t="s">
        <v>103</v>
      </c>
      <c r="H371" s="4" t="s">
        <v>104</v>
      </c>
      <c r="I371" s="4"/>
      <c r="J371" s="4"/>
      <c r="K371" s="4">
        <v>215</v>
      </c>
      <c r="L371" s="4">
        <v>17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06" x14ac:dyDescent="0.2">
      <c r="A372" s="4">
        <v>50</v>
      </c>
      <c r="B372" s="4">
        <v>0</v>
      </c>
      <c r="C372" s="4">
        <v>0</v>
      </c>
      <c r="D372" s="4">
        <v>1</v>
      </c>
      <c r="E372" s="4">
        <v>217</v>
      </c>
      <c r="F372" s="4">
        <f>ROUND(Source!AU353,O372)</f>
        <v>157531.46</v>
      </c>
      <c r="G372" s="4" t="s">
        <v>105</v>
      </c>
      <c r="H372" s="4" t="s">
        <v>106</v>
      </c>
      <c r="I372" s="4"/>
      <c r="J372" s="4"/>
      <c r="K372" s="4">
        <v>217</v>
      </c>
      <c r="L372" s="4">
        <v>18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06" x14ac:dyDescent="0.2">
      <c r="A373" s="4">
        <v>50</v>
      </c>
      <c r="B373" s="4">
        <v>0</v>
      </c>
      <c r="C373" s="4">
        <v>0</v>
      </c>
      <c r="D373" s="4">
        <v>1</v>
      </c>
      <c r="E373" s="4">
        <v>230</v>
      </c>
      <c r="F373" s="4">
        <f>ROUND(Source!BA353,O373)</f>
        <v>0</v>
      </c>
      <c r="G373" s="4" t="s">
        <v>107</v>
      </c>
      <c r="H373" s="4" t="s">
        <v>108</v>
      </c>
      <c r="I373" s="4"/>
      <c r="J373" s="4"/>
      <c r="K373" s="4">
        <v>230</v>
      </c>
      <c r="L373" s="4">
        <v>19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06" x14ac:dyDescent="0.2">
      <c r="A374" s="4">
        <v>50</v>
      </c>
      <c r="B374" s="4">
        <v>0</v>
      </c>
      <c r="C374" s="4">
        <v>0</v>
      </c>
      <c r="D374" s="4">
        <v>1</v>
      </c>
      <c r="E374" s="4">
        <v>206</v>
      </c>
      <c r="F374" s="4">
        <f>ROUND(Source!T353,O374)</f>
        <v>0</v>
      </c>
      <c r="G374" s="4" t="s">
        <v>109</v>
      </c>
      <c r="H374" s="4" t="s">
        <v>110</v>
      </c>
      <c r="I374" s="4"/>
      <c r="J374" s="4"/>
      <c r="K374" s="4">
        <v>206</v>
      </c>
      <c r="L374" s="4">
        <v>20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/>
    </row>
    <row r="375" spans="1:206" x14ac:dyDescent="0.2">
      <c r="A375" s="4">
        <v>50</v>
      </c>
      <c r="B375" s="4">
        <v>0</v>
      </c>
      <c r="C375" s="4">
        <v>0</v>
      </c>
      <c r="D375" s="4">
        <v>1</v>
      </c>
      <c r="E375" s="4">
        <v>207</v>
      </c>
      <c r="F375" s="4">
        <f>Source!U353</f>
        <v>212.00720799999999</v>
      </c>
      <c r="G375" s="4" t="s">
        <v>111</v>
      </c>
      <c r="H375" s="4" t="s">
        <v>112</v>
      </c>
      <c r="I375" s="4"/>
      <c r="J375" s="4"/>
      <c r="K375" s="4">
        <v>207</v>
      </c>
      <c r="L375" s="4">
        <v>21</v>
      </c>
      <c r="M375" s="4">
        <v>3</v>
      </c>
      <c r="N375" s="4" t="s">
        <v>3</v>
      </c>
      <c r="O375" s="4">
        <v>-1</v>
      </c>
      <c r="P375" s="4"/>
      <c r="Q375" s="4"/>
      <c r="R375" s="4"/>
      <c r="S375" s="4"/>
      <c r="T375" s="4"/>
      <c r="U375" s="4"/>
      <c r="V375" s="4"/>
      <c r="W375" s="4"/>
    </row>
    <row r="376" spans="1:206" x14ac:dyDescent="0.2">
      <c r="A376" s="4">
        <v>50</v>
      </c>
      <c r="B376" s="4">
        <v>0</v>
      </c>
      <c r="C376" s="4">
        <v>0</v>
      </c>
      <c r="D376" s="4">
        <v>1</v>
      </c>
      <c r="E376" s="4">
        <v>208</v>
      </c>
      <c r="F376" s="4">
        <f>Source!V353</f>
        <v>0</v>
      </c>
      <c r="G376" s="4" t="s">
        <v>113</v>
      </c>
      <c r="H376" s="4" t="s">
        <v>114</v>
      </c>
      <c r="I376" s="4"/>
      <c r="J376" s="4"/>
      <c r="K376" s="4">
        <v>208</v>
      </c>
      <c r="L376" s="4">
        <v>22</v>
      </c>
      <c r="M376" s="4">
        <v>3</v>
      </c>
      <c r="N376" s="4" t="s">
        <v>3</v>
      </c>
      <c r="O376" s="4">
        <v>-1</v>
      </c>
      <c r="P376" s="4"/>
      <c r="Q376" s="4"/>
      <c r="R376" s="4"/>
      <c r="S376" s="4"/>
      <c r="T376" s="4"/>
      <c r="U376" s="4"/>
      <c r="V376" s="4"/>
      <c r="W376" s="4"/>
    </row>
    <row r="377" spans="1:206" x14ac:dyDescent="0.2">
      <c r="A377" s="4">
        <v>50</v>
      </c>
      <c r="B377" s="4">
        <v>0</v>
      </c>
      <c r="C377" s="4">
        <v>0</v>
      </c>
      <c r="D377" s="4">
        <v>1</v>
      </c>
      <c r="E377" s="4">
        <v>209</v>
      </c>
      <c r="F377" s="4">
        <f>ROUND(Source!W353,O377)</f>
        <v>0</v>
      </c>
      <c r="G377" s="4" t="s">
        <v>115</v>
      </c>
      <c r="H377" s="4" t="s">
        <v>116</v>
      </c>
      <c r="I377" s="4"/>
      <c r="J377" s="4"/>
      <c r="K377" s="4">
        <v>209</v>
      </c>
      <c r="L377" s="4">
        <v>23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/>
    </row>
    <row r="378" spans="1:206" x14ac:dyDescent="0.2">
      <c r="A378" s="4">
        <v>50</v>
      </c>
      <c r="B378" s="4">
        <v>0</v>
      </c>
      <c r="C378" s="4">
        <v>0</v>
      </c>
      <c r="D378" s="4">
        <v>1</v>
      </c>
      <c r="E378" s="4">
        <v>210</v>
      </c>
      <c r="F378" s="4">
        <f>ROUND(Source!X353,O378)</f>
        <v>29910.46</v>
      </c>
      <c r="G378" s="4" t="s">
        <v>117</v>
      </c>
      <c r="H378" s="4" t="s">
        <v>118</v>
      </c>
      <c r="I378" s="4"/>
      <c r="J378" s="4"/>
      <c r="K378" s="4">
        <v>210</v>
      </c>
      <c r="L378" s="4">
        <v>24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/>
    </row>
    <row r="379" spans="1:206" x14ac:dyDescent="0.2">
      <c r="A379" s="4">
        <v>50</v>
      </c>
      <c r="B379" s="4">
        <v>0</v>
      </c>
      <c r="C379" s="4">
        <v>0</v>
      </c>
      <c r="D379" s="4">
        <v>1</v>
      </c>
      <c r="E379" s="4">
        <v>211</v>
      </c>
      <c r="F379" s="4">
        <f>ROUND(Source!Y353,O379)</f>
        <v>4272.92</v>
      </c>
      <c r="G379" s="4" t="s">
        <v>119</v>
      </c>
      <c r="H379" s="4" t="s">
        <v>120</v>
      </c>
      <c r="I379" s="4"/>
      <c r="J379" s="4"/>
      <c r="K379" s="4">
        <v>211</v>
      </c>
      <c r="L379" s="4">
        <v>25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0" spans="1:206" x14ac:dyDescent="0.2">
      <c r="A380" s="4">
        <v>50</v>
      </c>
      <c r="B380" s="4">
        <v>0</v>
      </c>
      <c r="C380" s="4">
        <v>0</v>
      </c>
      <c r="D380" s="4">
        <v>1</v>
      </c>
      <c r="E380" s="4">
        <v>224</v>
      </c>
      <c r="F380" s="4">
        <f>ROUND(Source!AR353,O380)</f>
        <v>160770.18</v>
      </c>
      <c r="G380" s="4" t="s">
        <v>121</v>
      </c>
      <c r="H380" s="4" t="s">
        <v>122</v>
      </c>
      <c r="I380" s="4"/>
      <c r="J380" s="4"/>
      <c r="K380" s="4">
        <v>224</v>
      </c>
      <c r="L380" s="4">
        <v>26</v>
      </c>
      <c r="M380" s="4">
        <v>3</v>
      </c>
      <c r="N380" s="4" t="s">
        <v>3</v>
      </c>
      <c r="O380" s="4">
        <v>2</v>
      </c>
      <c r="P380" s="4"/>
      <c r="Q380" s="4"/>
      <c r="R380" s="4"/>
      <c r="S380" s="4"/>
      <c r="T380" s="4"/>
      <c r="U380" s="4"/>
      <c r="V380" s="4"/>
      <c r="W380" s="4"/>
    </row>
    <row r="382" spans="1:206" x14ac:dyDescent="0.2">
      <c r="A382" s="1">
        <v>4</v>
      </c>
      <c r="B382" s="1">
        <v>1</v>
      </c>
      <c r="C382" s="1"/>
      <c r="D382" s="1">
        <f>ROW(A388)</f>
        <v>388</v>
      </c>
      <c r="E382" s="1"/>
      <c r="F382" s="1" t="s">
        <v>17</v>
      </c>
      <c r="G382" s="1" t="s">
        <v>260</v>
      </c>
      <c r="H382" s="1" t="s">
        <v>3</v>
      </c>
      <c r="I382" s="1">
        <v>0</v>
      </c>
      <c r="J382" s="1"/>
      <c r="K382" s="1">
        <v>0</v>
      </c>
      <c r="L382" s="1"/>
      <c r="M382" s="1"/>
      <c r="N382" s="1"/>
      <c r="O382" s="1"/>
      <c r="P382" s="1"/>
      <c r="Q382" s="1"/>
      <c r="R382" s="1"/>
      <c r="S382" s="1"/>
      <c r="T382" s="1"/>
      <c r="U382" s="1" t="s">
        <v>3</v>
      </c>
      <c r="V382" s="1">
        <v>0</v>
      </c>
      <c r="W382" s="1"/>
      <c r="X382" s="1"/>
      <c r="Y382" s="1"/>
      <c r="Z382" s="1"/>
      <c r="AA382" s="1"/>
      <c r="AB382" s="1" t="s">
        <v>3</v>
      </c>
      <c r="AC382" s="1" t="s">
        <v>3</v>
      </c>
      <c r="AD382" s="1" t="s">
        <v>3</v>
      </c>
      <c r="AE382" s="1" t="s">
        <v>3</v>
      </c>
      <c r="AF382" s="1" t="s">
        <v>3</v>
      </c>
      <c r="AG382" s="1" t="s">
        <v>3</v>
      </c>
      <c r="AH382" s="1"/>
      <c r="AI382" s="1"/>
      <c r="AJ382" s="1"/>
      <c r="AK382" s="1"/>
      <c r="AL382" s="1"/>
      <c r="AM382" s="1"/>
      <c r="AN382" s="1"/>
      <c r="AO382" s="1"/>
      <c r="AP382" s="1" t="s">
        <v>3</v>
      </c>
      <c r="AQ382" s="1" t="s">
        <v>3</v>
      </c>
      <c r="AR382" s="1" t="s">
        <v>3</v>
      </c>
      <c r="AS382" s="1"/>
      <c r="AT382" s="1"/>
      <c r="AU382" s="1"/>
      <c r="AV382" s="1"/>
      <c r="AW382" s="1"/>
      <c r="AX382" s="1"/>
      <c r="AY382" s="1"/>
      <c r="AZ382" s="1" t="s">
        <v>3</v>
      </c>
      <c r="BA382" s="1"/>
      <c r="BB382" s="1" t="s">
        <v>3</v>
      </c>
      <c r="BC382" s="1" t="s">
        <v>3</v>
      </c>
      <c r="BD382" s="1" t="s">
        <v>3</v>
      </c>
      <c r="BE382" s="1" t="s">
        <v>3</v>
      </c>
      <c r="BF382" s="1" t="s">
        <v>3</v>
      </c>
      <c r="BG382" s="1" t="s">
        <v>3</v>
      </c>
      <c r="BH382" s="1" t="s">
        <v>3</v>
      </c>
      <c r="BI382" s="1" t="s">
        <v>3</v>
      </c>
      <c r="BJ382" s="1" t="s">
        <v>3</v>
      </c>
      <c r="BK382" s="1" t="s">
        <v>3</v>
      </c>
      <c r="BL382" s="1" t="s">
        <v>3</v>
      </c>
      <c r="BM382" s="1" t="s">
        <v>3</v>
      </c>
      <c r="BN382" s="1" t="s">
        <v>3</v>
      </c>
      <c r="BO382" s="1" t="s">
        <v>3</v>
      </c>
      <c r="BP382" s="1" t="s">
        <v>3</v>
      </c>
      <c r="BQ382" s="1"/>
      <c r="BR382" s="1"/>
      <c r="BS382" s="1"/>
      <c r="BT382" s="1"/>
      <c r="BU382" s="1"/>
      <c r="BV382" s="1"/>
      <c r="BW382" s="1"/>
      <c r="BX382" s="1">
        <v>0</v>
      </c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>
        <v>0</v>
      </c>
    </row>
    <row r="384" spans="1:206" x14ac:dyDescent="0.2">
      <c r="A384" s="2">
        <v>52</v>
      </c>
      <c r="B384" s="2">
        <f t="shared" ref="B384:G384" si="306">B388</f>
        <v>1</v>
      </c>
      <c r="C384" s="2">
        <f t="shared" si="306"/>
        <v>4</v>
      </c>
      <c r="D384" s="2">
        <f t="shared" si="306"/>
        <v>382</v>
      </c>
      <c r="E384" s="2">
        <f t="shared" si="306"/>
        <v>0</v>
      </c>
      <c r="F384" s="2" t="str">
        <f t="shared" si="306"/>
        <v>Новый раздел</v>
      </c>
      <c r="G384" s="2" t="str">
        <f t="shared" si="306"/>
        <v>Раздел. 48 Устройство покрытия из искусственной травы - 1000 м2 (Спорт. общестрой)</v>
      </c>
      <c r="H384" s="2"/>
      <c r="I384" s="2"/>
      <c r="J384" s="2"/>
      <c r="K384" s="2"/>
      <c r="L384" s="2"/>
      <c r="M384" s="2"/>
      <c r="N384" s="2"/>
      <c r="O384" s="2">
        <f t="shared" ref="O384:AT384" si="307">O388</f>
        <v>669376.5</v>
      </c>
      <c r="P384" s="2">
        <f t="shared" si="307"/>
        <v>649146.19999999995</v>
      </c>
      <c r="Q384" s="2">
        <f t="shared" si="307"/>
        <v>70.400000000000006</v>
      </c>
      <c r="R384" s="2">
        <f t="shared" si="307"/>
        <v>51.2</v>
      </c>
      <c r="S384" s="2">
        <f t="shared" si="307"/>
        <v>20159.900000000001</v>
      </c>
      <c r="T384" s="2">
        <f t="shared" si="307"/>
        <v>0</v>
      </c>
      <c r="U384" s="2">
        <f t="shared" si="307"/>
        <v>93.5</v>
      </c>
      <c r="V384" s="2">
        <f t="shared" si="307"/>
        <v>0</v>
      </c>
      <c r="W384" s="2">
        <f t="shared" si="307"/>
        <v>0</v>
      </c>
      <c r="X384" s="2">
        <f t="shared" si="307"/>
        <v>14111.93</v>
      </c>
      <c r="Y384" s="2">
        <f t="shared" si="307"/>
        <v>2015.99</v>
      </c>
      <c r="Z384" s="2">
        <f t="shared" si="307"/>
        <v>0</v>
      </c>
      <c r="AA384" s="2">
        <f t="shared" si="307"/>
        <v>0</v>
      </c>
      <c r="AB384" s="2">
        <f t="shared" si="307"/>
        <v>669376.5</v>
      </c>
      <c r="AC384" s="2">
        <f t="shared" si="307"/>
        <v>649146.19999999995</v>
      </c>
      <c r="AD384" s="2">
        <f t="shared" si="307"/>
        <v>70.400000000000006</v>
      </c>
      <c r="AE384" s="2">
        <f t="shared" si="307"/>
        <v>51.2</v>
      </c>
      <c r="AF384" s="2">
        <f t="shared" si="307"/>
        <v>20159.900000000001</v>
      </c>
      <c r="AG384" s="2">
        <f t="shared" si="307"/>
        <v>0</v>
      </c>
      <c r="AH384" s="2">
        <f t="shared" si="307"/>
        <v>93.5</v>
      </c>
      <c r="AI384" s="2">
        <f t="shared" si="307"/>
        <v>0</v>
      </c>
      <c r="AJ384" s="2">
        <f t="shared" si="307"/>
        <v>0</v>
      </c>
      <c r="AK384" s="2">
        <f t="shared" si="307"/>
        <v>14111.93</v>
      </c>
      <c r="AL384" s="2">
        <f t="shared" si="307"/>
        <v>2015.99</v>
      </c>
      <c r="AM384" s="2">
        <f t="shared" si="307"/>
        <v>0</v>
      </c>
      <c r="AN384" s="2">
        <f t="shared" si="307"/>
        <v>0</v>
      </c>
      <c r="AO384" s="2">
        <f t="shared" si="307"/>
        <v>0</v>
      </c>
      <c r="AP384" s="2">
        <f t="shared" si="307"/>
        <v>0</v>
      </c>
      <c r="AQ384" s="2">
        <f t="shared" si="307"/>
        <v>0</v>
      </c>
      <c r="AR384" s="2">
        <f t="shared" si="307"/>
        <v>685559.72</v>
      </c>
      <c r="AS384" s="2">
        <f t="shared" si="307"/>
        <v>0</v>
      </c>
      <c r="AT384" s="2">
        <f t="shared" si="307"/>
        <v>0</v>
      </c>
      <c r="AU384" s="2">
        <f t="shared" ref="AU384:BZ384" si="308">AU388</f>
        <v>685559.72</v>
      </c>
      <c r="AV384" s="2">
        <f t="shared" si="308"/>
        <v>649146.19999999995</v>
      </c>
      <c r="AW384" s="2">
        <f t="shared" si="308"/>
        <v>649146.19999999995</v>
      </c>
      <c r="AX384" s="2">
        <f t="shared" si="308"/>
        <v>0</v>
      </c>
      <c r="AY384" s="2">
        <f t="shared" si="308"/>
        <v>649146.19999999995</v>
      </c>
      <c r="AZ384" s="2">
        <f t="shared" si="308"/>
        <v>0</v>
      </c>
      <c r="BA384" s="2">
        <f t="shared" si="308"/>
        <v>0</v>
      </c>
      <c r="BB384" s="2">
        <f t="shared" si="308"/>
        <v>0</v>
      </c>
      <c r="BC384" s="2">
        <f t="shared" si="308"/>
        <v>0</v>
      </c>
      <c r="BD384" s="2">
        <f t="shared" si="308"/>
        <v>0</v>
      </c>
      <c r="BE384" s="2">
        <f t="shared" si="308"/>
        <v>0</v>
      </c>
      <c r="BF384" s="2">
        <f t="shared" si="308"/>
        <v>0</v>
      </c>
      <c r="BG384" s="2">
        <f t="shared" si="308"/>
        <v>0</v>
      </c>
      <c r="BH384" s="2">
        <f t="shared" si="308"/>
        <v>0</v>
      </c>
      <c r="BI384" s="2">
        <f t="shared" si="308"/>
        <v>0</v>
      </c>
      <c r="BJ384" s="2">
        <f t="shared" si="308"/>
        <v>0</v>
      </c>
      <c r="BK384" s="2">
        <f t="shared" si="308"/>
        <v>0</v>
      </c>
      <c r="BL384" s="2">
        <f t="shared" si="308"/>
        <v>0</v>
      </c>
      <c r="BM384" s="2">
        <f t="shared" si="308"/>
        <v>0</v>
      </c>
      <c r="BN384" s="2">
        <f t="shared" si="308"/>
        <v>0</v>
      </c>
      <c r="BO384" s="2">
        <f t="shared" si="308"/>
        <v>0</v>
      </c>
      <c r="BP384" s="2">
        <f t="shared" si="308"/>
        <v>0</v>
      </c>
      <c r="BQ384" s="2">
        <f t="shared" si="308"/>
        <v>0</v>
      </c>
      <c r="BR384" s="2">
        <f t="shared" si="308"/>
        <v>0</v>
      </c>
      <c r="BS384" s="2">
        <f t="shared" si="308"/>
        <v>0</v>
      </c>
      <c r="BT384" s="2">
        <f t="shared" si="308"/>
        <v>0</v>
      </c>
      <c r="BU384" s="2">
        <f t="shared" si="308"/>
        <v>0</v>
      </c>
      <c r="BV384" s="2">
        <f t="shared" si="308"/>
        <v>0</v>
      </c>
      <c r="BW384" s="2">
        <f t="shared" si="308"/>
        <v>0</v>
      </c>
      <c r="BX384" s="2">
        <f t="shared" si="308"/>
        <v>0</v>
      </c>
      <c r="BY384" s="2">
        <f t="shared" si="308"/>
        <v>0</v>
      </c>
      <c r="BZ384" s="2">
        <f t="shared" si="308"/>
        <v>0</v>
      </c>
      <c r="CA384" s="2">
        <f t="shared" ref="CA384:DF384" si="309">CA388</f>
        <v>685559.72</v>
      </c>
      <c r="CB384" s="2">
        <f t="shared" si="309"/>
        <v>0</v>
      </c>
      <c r="CC384" s="2">
        <f t="shared" si="309"/>
        <v>0</v>
      </c>
      <c r="CD384" s="2">
        <f t="shared" si="309"/>
        <v>685559.72</v>
      </c>
      <c r="CE384" s="2">
        <f t="shared" si="309"/>
        <v>649146.19999999995</v>
      </c>
      <c r="CF384" s="2">
        <f t="shared" si="309"/>
        <v>649146.19999999995</v>
      </c>
      <c r="CG384" s="2">
        <f t="shared" si="309"/>
        <v>0</v>
      </c>
      <c r="CH384" s="2">
        <f t="shared" si="309"/>
        <v>649146.19999999995</v>
      </c>
      <c r="CI384" s="2">
        <f t="shared" si="309"/>
        <v>0</v>
      </c>
      <c r="CJ384" s="2">
        <f t="shared" si="309"/>
        <v>0</v>
      </c>
      <c r="CK384" s="2">
        <f t="shared" si="309"/>
        <v>0</v>
      </c>
      <c r="CL384" s="2">
        <f t="shared" si="309"/>
        <v>0</v>
      </c>
      <c r="CM384" s="2">
        <f t="shared" si="309"/>
        <v>0</v>
      </c>
      <c r="CN384" s="2">
        <f t="shared" si="309"/>
        <v>0</v>
      </c>
      <c r="CO384" s="2">
        <f t="shared" si="309"/>
        <v>0</v>
      </c>
      <c r="CP384" s="2">
        <f t="shared" si="309"/>
        <v>0</v>
      </c>
      <c r="CQ384" s="2">
        <f t="shared" si="309"/>
        <v>0</v>
      </c>
      <c r="CR384" s="2">
        <f t="shared" si="309"/>
        <v>0</v>
      </c>
      <c r="CS384" s="2">
        <f t="shared" si="309"/>
        <v>0</v>
      </c>
      <c r="CT384" s="2">
        <f t="shared" si="309"/>
        <v>0</v>
      </c>
      <c r="CU384" s="2">
        <f t="shared" si="309"/>
        <v>0</v>
      </c>
      <c r="CV384" s="2">
        <f t="shared" si="309"/>
        <v>0</v>
      </c>
      <c r="CW384" s="2">
        <f t="shared" si="309"/>
        <v>0</v>
      </c>
      <c r="CX384" s="2">
        <f t="shared" si="309"/>
        <v>0</v>
      </c>
      <c r="CY384" s="2">
        <f t="shared" si="309"/>
        <v>0</v>
      </c>
      <c r="CZ384" s="2">
        <f t="shared" si="309"/>
        <v>0</v>
      </c>
      <c r="DA384" s="2">
        <f t="shared" si="309"/>
        <v>0</v>
      </c>
      <c r="DB384" s="2">
        <f t="shared" si="309"/>
        <v>0</v>
      </c>
      <c r="DC384" s="2">
        <f t="shared" si="309"/>
        <v>0</v>
      </c>
      <c r="DD384" s="2">
        <f t="shared" si="309"/>
        <v>0</v>
      </c>
      <c r="DE384" s="2">
        <f t="shared" si="309"/>
        <v>0</v>
      </c>
      <c r="DF384" s="2">
        <f t="shared" si="309"/>
        <v>0</v>
      </c>
      <c r="DG384" s="3">
        <f t="shared" ref="DG384:EL384" si="310">DG388</f>
        <v>0</v>
      </c>
      <c r="DH384" s="3">
        <f t="shared" si="310"/>
        <v>0</v>
      </c>
      <c r="DI384" s="3">
        <f t="shared" si="310"/>
        <v>0</v>
      </c>
      <c r="DJ384" s="3">
        <f t="shared" si="310"/>
        <v>0</v>
      </c>
      <c r="DK384" s="3">
        <f t="shared" si="310"/>
        <v>0</v>
      </c>
      <c r="DL384" s="3">
        <f t="shared" si="310"/>
        <v>0</v>
      </c>
      <c r="DM384" s="3">
        <f t="shared" si="310"/>
        <v>0</v>
      </c>
      <c r="DN384" s="3">
        <f t="shared" si="310"/>
        <v>0</v>
      </c>
      <c r="DO384" s="3">
        <f t="shared" si="310"/>
        <v>0</v>
      </c>
      <c r="DP384" s="3">
        <f t="shared" si="310"/>
        <v>0</v>
      </c>
      <c r="DQ384" s="3">
        <f t="shared" si="310"/>
        <v>0</v>
      </c>
      <c r="DR384" s="3">
        <f t="shared" si="310"/>
        <v>0</v>
      </c>
      <c r="DS384" s="3">
        <f t="shared" si="310"/>
        <v>0</v>
      </c>
      <c r="DT384" s="3">
        <f t="shared" si="310"/>
        <v>0</v>
      </c>
      <c r="DU384" s="3">
        <f t="shared" si="310"/>
        <v>0</v>
      </c>
      <c r="DV384" s="3">
        <f t="shared" si="310"/>
        <v>0</v>
      </c>
      <c r="DW384" s="3">
        <f t="shared" si="310"/>
        <v>0</v>
      </c>
      <c r="DX384" s="3">
        <f t="shared" si="310"/>
        <v>0</v>
      </c>
      <c r="DY384" s="3">
        <f t="shared" si="310"/>
        <v>0</v>
      </c>
      <c r="DZ384" s="3">
        <f t="shared" si="310"/>
        <v>0</v>
      </c>
      <c r="EA384" s="3">
        <f t="shared" si="310"/>
        <v>0</v>
      </c>
      <c r="EB384" s="3">
        <f t="shared" si="310"/>
        <v>0</v>
      </c>
      <c r="EC384" s="3">
        <f t="shared" si="310"/>
        <v>0</v>
      </c>
      <c r="ED384" s="3">
        <f t="shared" si="310"/>
        <v>0</v>
      </c>
      <c r="EE384" s="3">
        <f t="shared" si="310"/>
        <v>0</v>
      </c>
      <c r="EF384" s="3">
        <f t="shared" si="310"/>
        <v>0</v>
      </c>
      <c r="EG384" s="3">
        <f t="shared" si="310"/>
        <v>0</v>
      </c>
      <c r="EH384" s="3">
        <f t="shared" si="310"/>
        <v>0</v>
      </c>
      <c r="EI384" s="3">
        <f t="shared" si="310"/>
        <v>0</v>
      </c>
      <c r="EJ384" s="3">
        <f t="shared" si="310"/>
        <v>0</v>
      </c>
      <c r="EK384" s="3">
        <f t="shared" si="310"/>
        <v>0</v>
      </c>
      <c r="EL384" s="3">
        <f t="shared" si="310"/>
        <v>0</v>
      </c>
      <c r="EM384" s="3">
        <f t="shared" ref="EM384:FR384" si="311">EM388</f>
        <v>0</v>
      </c>
      <c r="EN384" s="3">
        <f t="shared" si="311"/>
        <v>0</v>
      </c>
      <c r="EO384" s="3">
        <f t="shared" si="311"/>
        <v>0</v>
      </c>
      <c r="EP384" s="3">
        <f t="shared" si="311"/>
        <v>0</v>
      </c>
      <c r="EQ384" s="3">
        <f t="shared" si="311"/>
        <v>0</v>
      </c>
      <c r="ER384" s="3">
        <f t="shared" si="311"/>
        <v>0</v>
      </c>
      <c r="ES384" s="3">
        <f t="shared" si="311"/>
        <v>0</v>
      </c>
      <c r="ET384" s="3">
        <f t="shared" si="311"/>
        <v>0</v>
      </c>
      <c r="EU384" s="3">
        <f t="shared" si="311"/>
        <v>0</v>
      </c>
      <c r="EV384" s="3">
        <f t="shared" si="311"/>
        <v>0</v>
      </c>
      <c r="EW384" s="3">
        <f t="shared" si="311"/>
        <v>0</v>
      </c>
      <c r="EX384" s="3">
        <f t="shared" si="311"/>
        <v>0</v>
      </c>
      <c r="EY384" s="3">
        <f t="shared" si="311"/>
        <v>0</v>
      </c>
      <c r="EZ384" s="3">
        <f t="shared" si="311"/>
        <v>0</v>
      </c>
      <c r="FA384" s="3">
        <f t="shared" si="311"/>
        <v>0</v>
      </c>
      <c r="FB384" s="3">
        <f t="shared" si="311"/>
        <v>0</v>
      </c>
      <c r="FC384" s="3">
        <f t="shared" si="311"/>
        <v>0</v>
      </c>
      <c r="FD384" s="3">
        <f t="shared" si="311"/>
        <v>0</v>
      </c>
      <c r="FE384" s="3">
        <f t="shared" si="311"/>
        <v>0</v>
      </c>
      <c r="FF384" s="3">
        <f t="shared" si="311"/>
        <v>0</v>
      </c>
      <c r="FG384" s="3">
        <f t="shared" si="311"/>
        <v>0</v>
      </c>
      <c r="FH384" s="3">
        <f t="shared" si="311"/>
        <v>0</v>
      </c>
      <c r="FI384" s="3">
        <f t="shared" si="311"/>
        <v>0</v>
      </c>
      <c r="FJ384" s="3">
        <f t="shared" si="311"/>
        <v>0</v>
      </c>
      <c r="FK384" s="3">
        <f t="shared" si="311"/>
        <v>0</v>
      </c>
      <c r="FL384" s="3">
        <f t="shared" si="311"/>
        <v>0</v>
      </c>
      <c r="FM384" s="3">
        <f t="shared" si="311"/>
        <v>0</v>
      </c>
      <c r="FN384" s="3">
        <f t="shared" si="311"/>
        <v>0</v>
      </c>
      <c r="FO384" s="3">
        <f t="shared" si="311"/>
        <v>0</v>
      </c>
      <c r="FP384" s="3">
        <f t="shared" si="311"/>
        <v>0</v>
      </c>
      <c r="FQ384" s="3">
        <f t="shared" si="311"/>
        <v>0</v>
      </c>
      <c r="FR384" s="3">
        <f t="shared" si="311"/>
        <v>0</v>
      </c>
      <c r="FS384" s="3">
        <f t="shared" ref="FS384:GX384" si="312">FS388</f>
        <v>0</v>
      </c>
      <c r="FT384" s="3">
        <f t="shared" si="312"/>
        <v>0</v>
      </c>
      <c r="FU384" s="3">
        <f t="shared" si="312"/>
        <v>0</v>
      </c>
      <c r="FV384" s="3">
        <f t="shared" si="312"/>
        <v>0</v>
      </c>
      <c r="FW384" s="3">
        <f t="shared" si="312"/>
        <v>0</v>
      </c>
      <c r="FX384" s="3">
        <f t="shared" si="312"/>
        <v>0</v>
      </c>
      <c r="FY384" s="3">
        <f t="shared" si="312"/>
        <v>0</v>
      </c>
      <c r="FZ384" s="3">
        <f t="shared" si="312"/>
        <v>0</v>
      </c>
      <c r="GA384" s="3">
        <f t="shared" si="312"/>
        <v>0</v>
      </c>
      <c r="GB384" s="3">
        <f t="shared" si="312"/>
        <v>0</v>
      </c>
      <c r="GC384" s="3">
        <f t="shared" si="312"/>
        <v>0</v>
      </c>
      <c r="GD384" s="3">
        <f t="shared" si="312"/>
        <v>0</v>
      </c>
      <c r="GE384" s="3">
        <f t="shared" si="312"/>
        <v>0</v>
      </c>
      <c r="GF384" s="3">
        <f t="shared" si="312"/>
        <v>0</v>
      </c>
      <c r="GG384" s="3">
        <f t="shared" si="312"/>
        <v>0</v>
      </c>
      <c r="GH384" s="3">
        <f t="shared" si="312"/>
        <v>0</v>
      </c>
      <c r="GI384" s="3">
        <f t="shared" si="312"/>
        <v>0</v>
      </c>
      <c r="GJ384" s="3">
        <f t="shared" si="312"/>
        <v>0</v>
      </c>
      <c r="GK384" s="3">
        <f t="shared" si="312"/>
        <v>0</v>
      </c>
      <c r="GL384" s="3">
        <f t="shared" si="312"/>
        <v>0</v>
      </c>
      <c r="GM384" s="3">
        <f t="shared" si="312"/>
        <v>0</v>
      </c>
      <c r="GN384" s="3">
        <f t="shared" si="312"/>
        <v>0</v>
      </c>
      <c r="GO384" s="3">
        <f t="shared" si="312"/>
        <v>0</v>
      </c>
      <c r="GP384" s="3">
        <f t="shared" si="312"/>
        <v>0</v>
      </c>
      <c r="GQ384" s="3">
        <f t="shared" si="312"/>
        <v>0</v>
      </c>
      <c r="GR384" s="3">
        <f t="shared" si="312"/>
        <v>0</v>
      </c>
      <c r="GS384" s="3">
        <f t="shared" si="312"/>
        <v>0</v>
      </c>
      <c r="GT384" s="3">
        <f t="shared" si="312"/>
        <v>0</v>
      </c>
      <c r="GU384" s="3">
        <f t="shared" si="312"/>
        <v>0</v>
      </c>
      <c r="GV384" s="3">
        <f t="shared" si="312"/>
        <v>0</v>
      </c>
      <c r="GW384" s="3">
        <f t="shared" si="312"/>
        <v>0</v>
      </c>
      <c r="GX384" s="3">
        <f t="shared" si="312"/>
        <v>0</v>
      </c>
    </row>
    <row r="386" spans="1:245" x14ac:dyDescent="0.2">
      <c r="A386">
        <v>17</v>
      </c>
      <c r="B386">
        <v>1</v>
      </c>
      <c r="C386">
        <f>ROW(SmtRes!A184)</f>
        <v>184</v>
      </c>
      <c r="D386">
        <f>ROW(EtalonRes!A181)</f>
        <v>181</v>
      </c>
      <c r="E386" t="s">
        <v>261</v>
      </c>
      <c r="F386" t="s">
        <v>262</v>
      </c>
      <c r="G386" t="s">
        <v>263</v>
      </c>
      <c r="H386" t="s">
        <v>63</v>
      </c>
      <c r="I386">
        <f>ROUND(1000/100,9)</f>
        <v>10</v>
      </c>
      <c r="J386">
        <v>0</v>
      </c>
      <c r="O386">
        <f>ROUND(CP386,2)</f>
        <v>669376.5</v>
      </c>
      <c r="P386">
        <f>ROUND(CQ386*I386,2)</f>
        <v>649146.19999999995</v>
      </c>
      <c r="Q386">
        <f>ROUND(CR386*I386,2)</f>
        <v>70.400000000000006</v>
      </c>
      <c r="R386">
        <f>ROUND(CS386*I386,2)</f>
        <v>51.2</v>
      </c>
      <c r="S386">
        <f>ROUND(CT386*I386,2)</f>
        <v>20159.900000000001</v>
      </c>
      <c r="T386">
        <f>ROUND(CU386*I386,2)</f>
        <v>0</v>
      </c>
      <c r="U386">
        <f>CV386*I386</f>
        <v>93.5</v>
      </c>
      <c r="V386">
        <f>CW386*I386</f>
        <v>0</v>
      </c>
      <c r="W386">
        <f>ROUND(CX386*I386,2)</f>
        <v>0</v>
      </c>
      <c r="X386">
        <f>ROUND(CY386,2)</f>
        <v>14111.93</v>
      </c>
      <c r="Y386">
        <f>ROUND(CZ386,2)</f>
        <v>2015.99</v>
      </c>
      <c r="AA386">
        <v>42184655</v>
      </c>
      <c r="AB386">
        <f>ROUND((AC386+AD386+AF386),6)</f>
        <v>66937.649999999994</v>
      </c>
      <c r="AC386">
        <f>ROUND((ES386),6)</f>
        <v>64914.62</v>
      </c>
      <c r="AD386">
        <f>ROUND((((ET386)-(EU386))+AE386),6)</f>
        <v>7.04</v>
      </c>
      <c r="AE386">
        <f>ROUND((EU386),6)</f>
        <v>5.12</v>
      </c>
      <c r="AF386">
        <f>ROUND((EV386),6)</f>
        <v>2015.99</v>
      </c>
      <c r="AG386">
        <f>ROUND((AP386),6)</f>
        <v>0</v>
      </c>
      <c r="AH386">
        <f>(EW386)</f>
        <v>9.35</v>
      </c>
      <c r="AI386">
        <f>(EX386)</f>
        <v>0</v>
      </c>
      <c r="AJ386">
        <f>(AS386)</f>
        <v>0</v>
      </c>
      <c r="AK386">
        <v>66937.649999999994</v>
      </c>
      <c r="AL386">
        <v>64914.62</v>
      </c>
      <c r="AM386">
        <v>7.04</v>
      </c>
      <c r="AN386">
        <v>5.12</v>
      </c>
      <c r="AO386">
        <v>2015.99</v>
      </c>
      <c r="AP386">
        <v>0</v>
      </c>
      <c r="AQ386">
        <v>9.35</v>
      </c>
      <c r="AR386">
        <v>0</v>
      </c>
      <c r="AS386">
        <v>0</v>
      </c>
      <c r="AT386">
        <v>70</v>
      </c>
      <c r="AU386">
        <v>10</v>
      </c>
      <c r="AV386">
        <v>1</v>
      </c>
      <c r="AW386">
        <v>1</v>
      </c>
      <c r="AZ386">
        <v>1</v>
      </c>
      <c r="BA386">
        <v>1</v>
      </c>
      <c r="BB386">
        <v>1</v>
      </c>
      <c r="BC386">
        <v>1</v>
      </c>
      <c r="BD386" t="s">
        <v>3</v>
      </c>
      <c r="BE386" t="s">
        <v>3</v>
      </c>
      <c r="BF386" t="s">
        <v>3</v>
      </c>
      <c r="BG386" t="s">
        <v>3</v>
      </c>
      <c r="BH386">
        <v>0</v>
      </c>
      <c r="BI386">
        <v>4</v>
      </c>
      <c r="BJ386" t="s">
        <v>264</v>
      </c>
      <c r="BM386">
        <v>0</v>
      </c>
      <c r="BN386">
        <v>0</v>
      </c>
      <c r="BO386" t="s">
        <v>3</v>
      </c>
      <c r="BP386">
        <v>0</v>
      </c>
      <c r="BQ386">
        <v>1</v>
      </c>
      <c r="BR386">
        <v>0</v>
      </c>
      <c r="BS386">
        <v>1</v>
      </c>
      <c r="BT386">
        <v>1</v>
      </c>
      <c r="BU386">
        <v>1</v>
      </c>
      <c r="BV386">
        <v>1</v>
      </c>
      <c r="BW386">
        <v>1</v>
      </c>
      <c r="BX386">
        <v>1</v>
      </c>
      <c r="BY386" t="s">
        <v>3</v>
      </c>
      <c r="BZ386">
        <v>70</v>
      </c>
      <c r="CA386">
        <v>10</v>
      </c>
      <c r="CE386">
        <v>0</v>
      </c>
      <c r="CF386">
        <v>0</v>
      </c>
      <c r="CG386">
        <v>0</v>
      </c>
      <c r="CM386">
        <v>0</v>
      </c>
      <c r="CN386" t="s">
        <v>3</v>
      </c>
      <c r="CO386">
        <v>0</v>
      </c>
      <c r="CP386">
        <f>(P386+Q386+S386)</f>
        <v>669376.5</v>
      </c>
      <c r="CQ386">
        <f>(AC386*BC386*AW386)</f>
        <v>64914.62</v>
      </c>
      <c r="CR386">
        <f>((((ET386)*BB386-(EU386)*BS386)+AE386*BS386)*AV386)</f>
        <v>7.04</v>
      </c>
      <c r="CS386">
        <f>(AE386*BS386*AV386)</f>
        <v>5.12</v>
      </c>
      <c r="CT386">
        <f>(AF386*BA386*AV386)</f>
        <v>2015.99</v>
      </c>
      <c r="CU386">
        <f>AG386</f>
        <v>0</v>
      </c>
      <c r="CV386">
        <f>(AH386*AV386)</f>
        <v>9.35</v>
      </c>
      <c r="CW386">
        <f>AI386</f>
        <v>0</v>
      </c>
      <c r="CX386">
        <f>AJ386</f>
        <v>0</v>
      </c>
      <c r="CY386">
        <f>((S386*BZ386)/100)</f>
        <v>14111.93</v>
      </c>
      <c r="CZ386">
        <f>((S386*CA386)/100)</f>
        <v>2015.99</v>
      </c>
      <c r="DC386" t="s">
        <v>3</v>
      </c>
      <c r="DD386" t="s">
        <v>3</v>
      </c>
      <c r="DE386" t="s">
        <v>3</v>
      </c>
      <c r="DF386" t="s">
        <v>3</v>
      </c>
      <c r="DG386" t="s">
        <v>3</v>
      </c>
      <c r="DH386" t="s">
        <v>3</v>
      </c>
      <c r="DI386" t="s">
        <v>3</v>
      </c>
      <c r="DJ386" t="s">
        <v>3</v>
      </c>
      <c r="DK386" t="s">
        <v>3</v>
      </c>
      <c r="DL386" t="s">
        <v>3</v>
      </c>
      <c r="DM386" t="s">
        <v>3</v>
      </c>
      <c r="DN386">
        <v>0</v>
      </c>
      <c r="DO386">
        <v>0</v>
      </c>
      <c r="DP386">
        <v>1</v>
      </c>
      <c r="DQ386">
        <v>1</v>
      </c>
      <c r="DU386">
        <v>1005</v>
      </c>
      <c r="DV386" t="s">
        <v>63</v>
      </c>
      <c r="DW386" t="s">
        <v>63</v>
      </c>
      <c r="DX386">
        <v>100</v>
      </c>
      <c r="EE386">
        <v>40658659</v>
      </c>
      <c r="EF386">
        <v>1</v>
      </c>
      <c r="EG386" t="s">
        <v>24</v>
      </c>
      <c r="EH386">
        <v>0</v>
      </c>
      <c r="EI386" t="s">
        <v>3</v>
      </c>
      <c r="EJ386">
        <v>4</v>
      </c>
      <c r="EK386">
        <v>0</v>
      </c>
      <c r="EL386" t="s">
        <v>25</v>
      </c>
      <c r="EM386" t="s">
        <v>26</v>
      </c>
      <c r="EO386" t="s">
        <v>3</v>
      </c>
      <c r="EQ386">
        <v>0</v>
      </c>
      <c r="ER386">
        <v>66937.649999999994</v>
      </c>
      <c r="ES386">
        <v>64914.62</v>
      </c>
      <c r="ET386">
        <v>7.04</v>
      </c>
      <c r="EU386">
        <v>5.12</v>
      </c>
      <c r="EV386">
        <v>2015.99</v>
      </c>
      <c r="EW386">
        <v>9.35</v>
      </c>
      <c r="EX386">
        <v>0</v>
      </c>
      <c r="EY386">
        <v>0</v>
      </c>
      <c r="FQ386">
        <v>0</v>
      </c>
      <c r="FR386">
        <f>ROUND(IF(AND(BH386=3,BI386=3),P386,0),2)</f>
        <v>0</v>
      </c>
      <c r="FS386">
        <v>0</v>
      </c>
      <c r="FX386">
        <v>70</v>
      </c>
      <c r="FY386">
        <v>10</v>
      </c>
      <c r="GA386" t="s">
        <v>3</v>
      </c>
      <c r="GD386">
        <v>0</v>
      </c>
      <c r="GF386">
        <v>1553246896</v>
      </c>
      <c r="GG386">
        <v>2</v>
      </c>
      <c r="GH386">
        <v>1</v>
      </c>
      <c r="GI386">
        <v>-2</v>
      </c>
      <c r="GJ386">
        <v>0</v>
      </c>
      <c r="GK386">
        <f>ROUND(R386*(R12)/100,2)</f>
        <v>55.3</v>
      </c>
      <c r="GL386">
        <f>ROUND(IF(AND(BH386=3,BI386=3,FS386&lt;&gt;0),P386,0),2)</f>
        <v>0</v>
      </c>
      <c r="GM386">
        <f>ROUND(O386+X386+Y386+GK386,2)+GX386</f>
        <v>685559.72</v>
      </c>
      <c r="GN386">
        <f>IF(OR(BI386=0,BI386=1),ROUND(O386+X386+Y386+GK386,2),0)</f>
        <v>0</v>
      </c>
      <c r="GO386">
        <f>IF(BI386=2,ROUND(O386+X386+Y386+GK386,2),0)</f>
        <v>0</v>
      </c>
      <c r="GP386">
        <f>IF(BI386=4,ROUND(O386+X386+Y386+GK386,2)+GX386,0)</f>
        <v>685559.72</v>
      </c>
      <c r="GR386">
        <v>0</v>
      </c>
      <c r="GS386">
        <v>3</v>
      </c>
      <c r="GT386">
        <v>0</v>
      </c>
      <c r="GU386" t="s">
        <v>3</v>
      </c>
      <c r="GV386">
        <f>ROUND((GT386),6)</f>
        <v>0</v>
      </c>
      <c r="GW386">
        <v>1</v>
      </c>
      <c r="GX386">
        <f>ROUND(HC386*I386,2)</f>
        <v>0</v>
      </c>
      <c r="HA386">
        <v>0</v>
      </c>
      <c r="HB386">
        <v>0</v>
      </c>
      <c r="HC386">
        <f>GV386*GW386</f>
        <v>0</v>
      </c>
      <c r="IK386">
        <v>0</v>
      </c>
    </row>
    <row r="388" spans="1:245" x14ac:dyDescent="0.2">
      <c r="A388" s="2">
        <v>51</v>
      </c>
      <c r="B388" s="2">
        <f>B382</f>
        <v>1</v>
      </c>
      <c r="C388" s="2">
        <f>A382</f>
        <v>4</v>
      </c>
      <c r="D388" s="2">
        <f>ROW(A382)</f>
        <v>382</v>
      </c>
      <c r="E388" s="2"/>
      <c r="F388" s="2" t="str">
        <f>IF(F382&lt;&gt;"",F382,"")</f>
        <v>Новый раздел</v>
      </c>
      <c r="G388" s="2" t="str">
        <f>IF(G382&lt;&gt;"",G382,"")</f>
        <v>Раздел. 48 Устройство покрытия из искусственной травы - 1000 м2 (Спорт. общестрой)</v>
      </c>
      <c r="H388" s="2">
        <v>0</v>
      </c>
      <c r="I388" s="2"/>
      <c r="J388" s="2"/>
      <c r="K388" s="2"/>
      <c r="L388" s="2"/>
      <c r="M388" s="2"/>
      <c r="N388" s="2"/>
      <c r="O388" s="2">
        <f t="shared" ref="O388:T388" si="313">ROUND(AB388,2)</f>
        <v>669376.5</v>
      </c>
      <c r="P388" s="2">
        <f t="shared" si="313"/>
        <v>649146.19999999995</v>
      </c>
      <c r="Q388" s="2">
        <f t="shared" si="313"/>
        <v>70.400000000000006</v>
      </c>
      <c r="R388" s="2">
        <f t="shared" si="313"/>
        <v>51.2</v>
      </c>
      <c r="S388" s="2">
        <f t="shared" si="313"/>
        <v>20159.900000000001</v>
      </c>
      <c r="T388" s="2">
        <f t="shared" si="313"/>
        <v>0</v>
      </c>
      <c r="U388" s="2">
        <f>AH388</f>
        <v>93.5</v>
      </c>
      <c r="V388" s="2">
        <f>AI388</f>
        <v>0</v>
      </c>
      <c r="W388" s="2">
        <f>ROUND(AJ388,2)</f>
        <v>0</v>
      </c>
      <c r="X388" s="2">
        <f>ROUND(AK388,2)</f>
        <v>14111.93</v>
      </c>
      <c r="Y388" s="2">
        <f>ROUND(AL388,2)</f>
        <v>2015.99</v>
      </c>
      <c r="Z388" s="2"/>
      <c r="AA388" s="2"/>
      <c r="AB388" s="2">
        <f>ROUND(SUMIF(AA386:AA386,"=42184655",O386:O386),2)</f>
        <v>669376.5</v>
      </c>
      <c r="AC388" s="2">
        <f>ROUND(SUMIF(AA386:AA386,"=42184655",P386:P386),2)</f>
        <v>649146.19999999995</v>
      </c>
      <c r="AD388" s="2">
        <f>ROUND(SUMIF(AA386:AA386,"=42184655",Q386:Q386),2)</f>
        <v>70.400000000000006</v>
      </c>
      <c r="AE388" s="2">
        <f>ROUND(SUMIF(AA386:AA386,"=42184655",R386:R386),2)</f>
        <v>51.2</v>
      </c>
      <c r="AF388" s="2">
        <f>ROUND(SUMIF(AA386:AA386,"=42184655",S386:S386),2)</f>
        <v>20159.900000000001</v>
      </c>
      <c r="AG388" s="2">
        <f>ROUND(SUMIF(AA386:AA386,"=42184655",T386:T386),2)</f>
        <v>0</v>
      </c>
      <c r="AH388" s="2">
        <f>SUMIF(AA386:AA386,"=42184655",U386:U386)</f>
        <v>93.5</v>
      </c>
      <c r="AI388" s="2">
        <f>SUMIF(AA386:AA386,"=42184655",V386:V386)</f>
        <v>0</v>
      </c>
      <c r="AJ388" s="2">
        <f>ROUND(SUMIF(AA386:AA386,"=42184655",W386:W386),2)</f>
        <v>0</v>
      </c>
      <c r="AK388" s="2">
        <f>ROUND(SUMIF(AA386:AA386,"=42184655",X386:X386),2)</f>
        <v>14111.93</v>
      </c>
      <c r="AL388" s="2">
        <f>ROUND(SUMIF(AA386:AA386,"=42184655",Y386:Y386),2)</f>
        <v>2015.99</v>
      </c>
      <c r="AM388" s="2"/>
      <c r="AN388" s="2"/>
      <c r="AO388" s="2">
        <f t="shared" ref="AO388:BC388" si="314">ROUND(BX388,2)</f>
        <v>0</v>
      </c>
      <c r="AP388" s="2">
        <f t="shared" si="314"/>
        <v>0</v>
      </c>
      <c r="AQ388" s="2">
        <f t="shared" si="314"/>
        <v>0</v>
      </c>
      <c r="AR388" s="2">
        <f t="shared" si="314"/>
        <v>685559.72</v>
      </c>
      <c r="AS388" s="2">
        <f t="shared" si="314"/>
        <v>0</v>
      </c>
      <c r="AT388" s="2">
        <f t="shared" si="314"/>
        <v>0</v>
      </c>
      <c r="AU388" s="2">
        <f t="shared" si="314"/>
        <v>685559.72</v>
      </c>
      <c r="AV388" s="2">
        <f t="shared" si="314"/>
        <v>649146.19999999995</v>
      </c>
      <c r="AW388" s="2">
        <f t="shared" si="314"/>
        <v>649146.19999999995</v>
      </c>
      <c r="AX388" s="2">
        <f t="shared" si="314"/>
        <v>0</v>
      </c>
      <c r="AY388" s="2">
        <f t="shared" si="314"/>
        <v>649146.19999999995</v>
      </c>
      <c r="AZ388" s="2">
        <f t="shared" si="314"/>
        <v>0</v>
      </c>
      <c r="BA388" s="2">
        <f t="shared" si="314"/>
        <v>0</v>
      </c>
      <c r="BB388" s="2">
        <f t="shared" si="314"/>
        <v>0</v>
      </c>
      <c r="BC388" s="2">
        <f t="shared" si="314"/>
        <v>0</v>
      </c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>
        <f>ROUND(SUMIF(AA386:AA386,"=42184655",FQ386:FQ386),2)</f>
        <v>0</v>
      </c>
      <c r="BY388" s="2">
        <f>ROUND(SUMIF(AA386:AA386,"=42184655",FR386:FR386),2)</f>
        <v>0</v>
      </c>
      <c r="BZ388" s="2">
        <f>ROUND(SUMIF(AA386:AA386,"=42184655",GL386:GL386),2)</f>
        <v>0</v>
      </c>
      <c r="CA388" s="2">
        <f>ROUND(SUMIF(AA386:AA386,"=42184655",GM386:GM386),2)</f>
        <v>685559.72</v>
      </c>
      <c r="CB388" s="2">
        <f>ROUND(SUMIF(AA386:AA386,"=42184655",GN386:GN386),2)</f>
        <v>0</v>
      </c>
      <c r="CC388" s="2">
        <f>ROUND(SUMIF(AA386:AA386,"=42184655",GO386:GO386),2)</f>
        <v>0</v>
      </c>
      <c r="CD388" s="2">
        <f>ROUND(SUMIF(AA386:AA386,"=42184655",GP386:GP386),2)</f>
        <v>685559.72</v>
      </c>
      <c r="CE388" s="2">
        <f>AC388-BX388</f>
        <v>649146.19999999995</v>
      </c>
      <c r="CF388" s="2">
        <f>AC388-BY388</f>
        <v>649146.19999999995</v>
      </c>
      <c r="CG388" s="2">
        <f>BX388-BZ388</f>
        <v>0</v>
      </c>
      <c r="CH388" s="2">
        <f>AC388-BX388-BY388+BZ388</f>
        <v>649146.19999999995</v>
      </c>
      <c r="CI388" s="2">
        <f>BY388-BZ388</f>
        <v>0</v>
      </c>
      <c r="CJ388" s="2">
        <f>ROUND(SUMIF(AA386:AA386,"=42184655",GX386:GX386),2)</f>
        <v>0</v>
      </c>
      <c r="CK388" s="2">
        <f>ROUND(SUMIF(AA386:AA386,"=42184655",GY386:GY386),2)</f>
        <v>0</v>
      </c>
      <c r="CL388" s="2">
        <f>ROUND(SUMIF(AA386:AA386,"=42184655",GZ386:GZ386),2)</f>
        <v>0</v>
      </c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>
        <v>0</v>
      </c>
    </row>
    <row r="390" spans="1:245" x14ac:dyDescent="0.2">
      <c r="A390" s="4">
        <v>50</v>
      </c>
      <c r="B390" s="4">
        <v>0</v>
      </c>
      <c r="C390" s="4">
        <v>0</v>
      </c>
      <c r="D390" s="4">
        <v>1</v>
      </c>
      <c r="E390" s="4">
        <v>201</v>
      </c>
      <c r="F390" s="4">
        <f>ROUND(Source!O388,O390)</f>
        <v>669376.5</v>
      </c>
      <c r="G390" s="4" t="s">
        <v>71</v>
      </c>
      <c r="H390" s="4" t="s">
        <v>72</v>
      </c>
      <c r="I390" s="4"/>
      <c r="J390" s="4"/>
      <c r="K390" s="4">
        <v>201</v>
      </c>
      <c r="L390" s="4">
        <v>1</v>
      </c>
      <c r="M390" s="4">
        <v>3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/>
    </row>
    <row r="391" spans="1:245" x14ac:dyDescent="0.2">
      <c r="A391" s="4">
        <v>50</v>
      </c>
      <c r="B391" s="4">
        <v>0</v>
      </c>
      <c r="C391" s="4">
        <v>0</v>
      </c>
      <c r="D391" s="4">
        <v>1</v>
      </c>
      <c r="E391" s="4">
        <v>202</v>
      </c>
      <c r="F391" s="4">
        <f>ROUND(Source!P388,O391)</f>
        <v>649146.19999999995</v>
      </c>
      <c r="G391" s="4" t="s">
        <v>73</v>
      </c>
      <c r="H391" s="4" t="s">
        <v>74</v>
      </c>
      <c r="I391" s="4"/>
      <c r="J391" s="4"/>
      <c r="K391" s="4">
        <v>202</v>
      </c>
      <c r="L391" s="4">
        <v>2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/>
    </row>
    <row r="392" spans="1:245" x14ac:dyDescent="0.2">
      <c r="A392" s="4">
        <v>50</v>
      </c>
      <c r="B392" s="4">
        <v>0</v>
      </c>
      <c r="C392" s="4">
        <v>0</v>
      </c>
      <c r="D392" s="4">
        <v>1</v>
      </c>
      <c r="E392" s="4">
        <v>222</v>
      </c>
      <c r="F392" s="4">
        <f>ROUND(Source!AO388,O392)</f>
        <v>0</v>
      </c>
      <c r="G392" s="4" t="s">
        <v>75</v>
      </c>
      <c r="H392" s="4" t="s">
        <v>76</v>
      </c>
      <c r="I392" s="4"/>
      <c r="J392" s="4"/>
      <c r="K392" s="4">
        <v>222</v>
      </c>
      <c r="L392" s="4">
        <v>3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/>
    </row>
    <row r="393" spans="1:245" x14ac:dyDescent="0.2">
      <c r="A393" s="4">
        <v>50</v>
      </c>
      <c r="B393" s="4">
        <v>0</v>
      </c>
      <c r="C393" s="4">
        <v>0</v>
      </c>
      <c r="D393" s="4">
        <v>1</v>
      </c>
      <c r="E393" s="4">
        <v>225</v>
      </c>
      <c r="F393" s="4">
        <f>ROUND(Source!AV388,O393)</f>
        <v>649146.19999999995</v>
      </c>
      <c r="G393" s="4" t="s">
        <v>77</v>
      </c>
      <c r="H393" s="4" t="s">
        <v>78</v>
      </c>
      <c r="I393" s="4"/>
      <c r="J393" s="4"/>
      <c r="K393" s="4">
        <v>225</v>
      </c>
      <c r="L393" s="4">
        <v>4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/>
    </row>
    <row r="394" spans="1:245" x14ac:dyDescent="0.2">
      <c r="A394" s="4">
        <v>50</v>
      </c>
      <c r="B394" s="4">
        <v>0</v>
      </c>
      <c r="C394" s="4">
        <v>0</v>
      </c>
      <c r="D394" s="4">
        <v>1</v>
      </c>
      <c r="E394" s="4">
        <v>226</v>
      </c>
      <c r="F394" s="4">
        <f>ROUND(Source!AW388,O394)</f>
        <v>649146.19999999995</v>
      </c>
      <c r="G394" s="4" t="s">
        <v>79</v>
      </c>
      <c r="H394" s="4" t="s">
        <v>80</v>
      </c>
      <c r="I394" s="4"/>
      <c r="J394" s="4"/>
      <c r="K394" s="4">
        <v>226</v>
      </c>
      <c r="L394" s="4">
        <v>5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45" x14ac:dyDescent="0.2">
      <c r="A395" s="4">
        <v>50</v>
      </c>
      <c r="B395" s="4">
        <v>0</v>
      </c>
      <c r="C395" s="4">
        <v>0</v>
      </c>
      <c r="D395" s="4">
        <v>1</v>
      </c>
      <c r="E395" s="4">
        <v>227</v>
      </c>
      <c r="F395" s="4">
        <f>ROUND(Source!AX388,O395)</f>
        <v>0</v>
      </c>
      <c r="G395" s="4" t="s">
        <v>81</v>
      </c>
      <c r="H395" s="4" t="s">
        <v>82</v>
      </c>
      <c r="I395" s="4"/>
      <c r="J395" s="4"/>
      <c r="K395" s="4">
        <v>227</v>
      </c>
      <c r="L395" s="4">
        <v>6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45" x14ac:dyDescent="0.2">
      <c r="A396" s="4">
        <v>50</v>
      </c>
      <c r="B396" s="4">
        <v>0</v>
      </c>
      <c r="C396" s="4">
        <v>0</v>
      </c>
      <c r="D396" s="4">
        <v>1</v>
      </c>
      <c r="E396" s="4">
        <v>228</v>
      </c>
      <c r="F396" s="4">
        <f>ROUND(Source!AY388,O396)</f>
        <v>649146.19999999995</v>
      </c>
      <c r="G396" s="4" t="s">
        <v>83</v>
      </c>
      <c r="H396" s="4" t="s">
        <v>84</v>
      </c>
      <c r="I396" s="4"/>
      <c r="J396" s="4"/>
      <c r="K396" s="4">
        <v>228</v>
      </c>
      <c r="L396" s="4">
        <v>7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45" x14ac:dyDescent="0.2">
      <c r="A397" s="4">
        <v>50</v>
      </c>
      <c r="B397" s="4">
        <v>0</v>
      </c>
      <c r="C397" s="4">
        <v>0</v>
      </c>
      <c r="D397" s="4">
        <v>1</v>
      </c>
      <c r="E397" s="4">
        <v>216</v>
      </c>
      <c r="F397" s="4">
        <f>ROUND(Source!AP388,O397)</f>
        <v>0</v>
      </c>
      <c r="G397" s="4" t="s">
        <v>85</v>
      </c>
      <c r="H397" s="4" t="s">
        <v>86</v>
      </c>
      <c r="I397" s="4"/>
      <c r="J397" s="4"/>
      <c r="K397" s="4">
        <v>216</v>
      </c>
      <c r="L397" s="4">
        <v>8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45" x14ac:dyDescent="0.2">
      <c r="A398" s="4">
        <v>50</v>
      </c>
      <c r="B398" s="4">
        <v>0</v>
      </c>
      <c r="C398" s="4">
        <v>0</v>
      </c>
      <c r="D398" s="4">
        <v>1</v>
      </c>
      <c r="E398" s="4">
        <v>223</v>
      </c>
      <c r="F398" s="4">
        <f>ROUND(Source!AQ388,O398)</f>
        <v>0</v>
      </c>
      <c r="G398" s="4" t="s">
        <v>87</v>
      </c>
      <c r="H398" s="4" t="s">
        <v>88</v>
      </c>
      <c r="I398" s="4"/>
      <c r="J398" s="4"/>
      <c r="K398" s="4">
        <v>223</v>
      </c>
      <c r="L398" s="4">
        <v>9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45" x14ac:dyDescent="0.2">
      <c r="A399" s="4">
        <v>50</v>
      </c>
      <c r="B399" s="4">
        <v>0</v>
      </c>
      <c r="C399" s="4">
        <v>0</v>
      </c>
      <c r="D399" s="4">
        <v>1</v>
      </c>
      <c r="E399" s="4">
        <v>229</v>
      </c>
      <c r="F399" s="4">
        <f>ROUND(Source!AZ388,O399)</f>
        <v>0</v>
      </c>
      <c r="G399" s="4" t="s">
        <v>89</v>
      </c>
      <c r="H399" s="4" t="s">
        <v>90</v>
      </c>
      <c r="I399" s="4"/>
      <c r="J399" s="4"/>
      <c r="K399" s="4">
        <v>229</v>
      </c>
      <c r="L399" s="4">
        <v>10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45" x14ac:dyDescent="0.2">
      <c r="A400" s="4">
        <v>50</v>
      </c>
      <c r="B400" s="4">
        <v>0</v>
      </c>
      <c r="C400" s="4">
        <v>0</v>
      </c>
      <c r="D400" s="4">
        <v>1</v>
      </c>
      <c r="E400" s="4">
        <v>203</v>
      </c>
      <c r="F400" s="4">
        <f>ROUND(Source!Q388,O400)</f>
        <v>70.400000000000006</v>
      </c>
      <c r="G400" s="4" t="s">
        <v>91</v>
      </c>
      <c r="H400" s="4" t="s">
        <v>92</v>
      </c>
      <c r="I400" s="4"/>
      <c r="J400" s="4"/>
      <c r="K400" s="4">
        <v>203</v>
      </c>
      <c r="L400" s="4">
        <v>11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23" x14ac:dyDescent="0.2">
      <c r="A401" s="4">
        <v>50</v>
      </c>
      <c r="B401" s="4">
        <v>0</v>
      </c>
      <c r="C401" s="4">
        <v>0</v>
      </c>
      <c r="D401" s="4">
        <v>1</v>
      </c>
      <c r="E401" s="4">
        <v>231</v>
      </c>
      <c r="F401" s="4">
        <f>ROUND(Source!BB388,O401)</f>
        <v>0</v>
      </c>
      <c r="G401" s="4" t="s">
        <v>93</v>
      </c>
      <c r="H401" s="4" t="s">
        <v>94</v>
      </c>
      <c r="I401" s="4"/>
      <c r="J401" s="4"/>
      <c r="K401" s="4">
        <v>231</v>
      </c>
      <c r="L401" s="4">
        <v>12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3" x14ac:dyDescent="0.2">
      <c r="A402" s="4">
        <v>50</v>
      </c>
      <c r="B402" s="4">
        <v>0</v>
      </c>
      <c r="C402" s="4">
        <v>0</v>
      </c>
      <c r="D402" s="4">
        <v>1</v>
      </c>
      <c r="E402" s="4">
        <v>204</v>
      </c>
      <c r="F402" s="4">
        <f>ROUND(Source!R388,O402)</f>
        <v>51.2</v>
      </c>
      <c r="G402" s="4" t="s">
        <v>95</v>
      </c>
      <c r="H402" s="4" t="s">
        <v>96</v>
      </c>
      <c r="I402" s="4"/>
      <c r="J402" s="4"/>
      <c r="K402" s="4">
        <v>204</v>
      </c>
      <c r="L402" s="4">
        <v>13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3" x14ac:dyDescent="0.2">
      <c r="A403" s="4">
        <v>50</v>
      </c>
      <c r="B403" s="4">
        <v>0</v>
      </c>
      <c r="C403" s="4">
        <v>0</v>
      </c>
      <c r="D403" s="4">
        <v>1</v>
      </c>
      <c r="E403" s="4">
        <v>205</v>
      </c>
      <c r="F403" s="4">
        <f>ROUND(Source!S388,O403)</f>
        <v>20159.900000000001</v>
      </c>
      <c r="G403" s="4" t="s">
        <v>97</v>
      </c>
      <c r="H403" s="4" t="s">
        <v>98</v>
      </c>
      <c r="I403" s="4"/>
      <c r="J403" s="4"/>
      <c r="K403" s="4">
        <v>205</v>
      </c>
      <c r="L403" s="4">
        <v>14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3" x14ac:dyDescent="0.2">
      <c r="A404" s="4">
        <v>50</v>
      </c>
      <c r="B404" s="4">
        <v>0</v>
      </c>
      <c r="C404" s="4">
        <v>0</v>
      </c>
      <c r="D404" s="4">
        <v>1</v>
      </c>
      <c r="E404" s="4">
        <v>232</v>
      </c>
      <c r="F404" s="4">
        <f>ROUND(Source!BC388,O404)</f>
        <v>0</v>
      </c>
      <c r="G404" s="4" t="s">
        <v>99</v>
      </c>
      <c r="H404" s="4" t="s">
        <v>100</v>
      </c>
      <c r="I404" s="4"/>
      <c r="J404" s="4"/>
      <c r="K404" s="4">
        <v>232</v>
      </c>
      <c r="L404" s="4">
        <v>15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23" x14ac:dyDescent="0.2">
      <c r="A405" s="4">
        <v>50</v>
      </c>
      <c r="B405" s="4">
        <v>0</v>
      </c>
      <c r="C405" s="4">
        <v>0</v>
      </c>
      <c r="D405" s="4">
        <v>1</v>
      </c>
      <c r="E405" s="4">
        <v>214</v>
      </c>
      <c r="F405" s="4">
        <f>ROUND(Source!AS388,O405)</f>
        <v>0</v>
      </c>
      <c r="G405" s="4" t="s">
        <v>101</v>
      </c>
      <c r="H405" s="4" t="s">
        <v>102</v>
      </c>
      <c r="I405" s="4"/>
      <c r="J405" s="4"/>
      <c r="K405" s="4">
        <v>214</v>
      </c>
      <c r="L405" s="4">
        <v>16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23" x14ac:dyDescent="0.2">
      <c r="A406" s="4">
        <v>50</v>
      </c>
      <c r="B406" s="4">
        <v>0</v>
      </c>
      <c r="C406" s="4">
        <v>0</v>
      </c>
      <c r="D406" s="4">
        <v>1</v>
      </c>
      <c r="E406" s="4">
        <v>215</v>
      </c>
      <c r="F406" s="4">
        <f>ROUND(Source!AT388,O406)</f>
        <v>0</v>
      </c>
      <c r="G406" s="4" t="s">
        <v>103</v>
      </c>
      <c r="H406" s="4" t="s">
        <v>104</v>
      </c>
      <c r="I406" s="4"/>
      <c r="J406" s="4"/>
      <c r="K406" s="4">
        <v>215</v>
      </c>
      <c r="L406" s="4">
        <v>17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23" x14ac:dyDescent="0.2">
      <c r="A407" s="4">
        <v>50</v>
      </c>
      <c r="B407" s="4">
        <v>0</v>
      </c>
      <c r="C407" s="4">
        <v>0</v>
      </c>
      <c r="D407" s="4">
        <v>1</v>
      </c>
      <c r="E407" s="4">
        <v>217</v>
      </c>
      <c r="F407" s="4">
        <f>ROUND(Source!AU388,O407)</f>
        <v>685559.72</v>
      </c>
      <c r="G407" s="4" t="s">
        <v>105</v>
      </c>
      <c r="H407" s="4" t="s">
        <v>106</v>
      </c>
      <c r="I407" s="4"/>
      <c r="J407" s="4"/>
      <c r="K407" s="4">
        <v>217</v>
      </c>
      <c r="L407" s="4">
        <v>18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23" x14ac:dyDescent="0.2">
      <c r="A408" s="4">
        <v>50</v>
      </c>
      <c r="B408" s="4">
        <v>0</v>
      </c>
      <c r="C408" s="4">
        <v>0</v>
      </c>
      <c r="D408" s="4">
        <v>1</v>
      </c>
      <c r="E408" s="4">
        <v>230</v>
      </c>
      <c r="F408" s="4">
        <f>ROUND(Source!BA388,O408)</f>
        <v>0</v>
      </c>
      <c r="G408" s="4" t="s">
        <v>107</v>
      </c>
      <c r="H408" s="4" t="s">
        <v>108</v>
      </c>
      <c r="I408" s="4"/>
      <c r="J408" s="4"/>
      <c r="K408" s="4">
        <v>230</v>
      </c>
      <c r="L408" s="4">
        <v>19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23" x14ac:dyDescent="0.2">
      <c r="A409" s="4">
        <v>50</v>
      </c>
      <c r="B409" s="4">
        <v>0</v>
      </c>
      <c r="C409" s="4">
        <v>0</v>
      </c>
      <c r="D409" s="4">
        <v>1</v>
      </c>
      <c r="E409" s="4">
        <v>206</v>
      </c>
      <c r="F409" s="4">
        <f>ROUND(Source!T388,O409)</f>
        <v>0</v>
      </c>
      <c r="G409" s="4" t="s">
        <v>109</v>
      </c>
      <c r="H409" s="4" t="s">
        <v>110</v>
      </c>
      <c r="I409" s="4"/>
      <c r="J409" s="4"/>
      <c r="K409" s="4">
        <v>206</v>
      </c>
      <c r="L409" s="4">
        <v>20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/>
    </row>
    <row r="410" spans="1:23" x14ac:dyDescent="0.2">
      <c r="A410" s="4">
        <v>50</v>
      </c>
      <c r="B410" s="4">
        <v>0</v>
      </c>
      <c r="C410" s="4">
        <v>0</v>
      </c>
      <c r="D410" s="4">
        <v>1</v>
      </c>
      <c r="E410" s="4">
        <v>207</v>
      </c>
      <c r="F410" s="4">
        <f>Source!U388</f>
        <v>93.5</v>
      </c>
      <c r="G410" s="4" t="s">
        <v>111</v>
      </c>
      <c r="H410" s="4" t="s">
        <v>112</v>
      </c>
      <c r="I410" s="4"/>
      <c r="J410" s="4"/>
      <c r="K410" s="4">
        <v>207</v>
      </c>
      <c r="L410" s="4">
        <v>21</v>
      </c>
      <c r="M410" s="4">
        <v>3</v>
      </c>
      <c r="N410" s="4" t="s">
        <v>3</v>
      </c>
      <c r="O410" s="4">
        <v>-1</v>
      </c>
      <c r="P410" s="4"/>
      <c r="Q410" s="4"/>
      <c r="R410" s="4"/>
      <c r="S410" s="4"/>
      <c r="T410" s="4"/>
      <c r="U410" s="4"/>
      <c r="V410" s="4"/>
      <c r="W410" s="4"/>
    </row>
    <row r="411" spans="1:23" x14ac:dyDescent="0.2">
      <c r="A411" s="4">
        <v>50</v>
      </c>
      <c r="B411" s="4">
        <v>0</v>
      </c>
      <c r="C411" s="4">
        <v>0</v>
      </c>
      <c r="D411" s="4">
        <v>1</v>
      </c>
      <c r="E411" s="4">
        <v>208</v>
      </c>
      <c r="F411" s="4">
        <f>Source!V388</f>
        <v>0</v>
      </c>
      <c r="G411" s="4" t="s">
        <v>113</v>
      </c>
      <c r="H411" s="4" t="s">
        <v>114</v>
      </c>
      <c r="I411" s="4"/>
      <c r="J411" s="4"/>
      <c r="K411" s="4">
        <v>208</v>
      </c>
      <c r="L411" s="4">
        <v>22</v>
      </c>
      <c r="M411" s="4">
        <v>3</v>
      </c>
      <c r="N411" s="4" t="s">
        <v>3</v>
      </c>
      <c r="O411" s="4">
        <v>-1</v>
      </c>
      <c r="P411" s="4"/>
      <c r="Q411" s="4"/>
      <c r="R411" s="4"/>
      <c r="S411" s="4"/>
      <c r="T411" s="4"/>
      <c r="U411" s="4"/>
      <c r="V411" s="4"/>
      <c r="W411" s="4"/>
    </row>
    <row r="412" spans="1:23" x14ac:dyDescent="0.2">
      <c r="A412" s="4">
        <v>50</v>
      </c>
      <c r="B412" s="4">
        <v>0</v>
      </c>
      <c r="C412" s="4">
        <v>0</v>
      </c>
      <c r="D412" s="4">
        <v>1</v>
      </c>
      <c r="E412" s="4">
        <v>209</v>
      </c>
      <c r="F412" s="4">
        <f>ROUND(Source!W388,O412)</f>
        <v>0</v>
      </c>
      <c r="G412" s="4" t="s">
        <v>115</v>
      </c>
      <c r="H412" s="4" t="s">
        <v>116</v>
      </c>
      <c r="I412" s="4"/>
      <c r="J412" s="4"/>
      <c r="K412" s="4">
        <v>209</v>
      </c>
      <c r="L412" s="4">
        <v>23</v>
      </c>
      <c r="M412" s="4">
        <v>3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/>
    </row>
    <row r="413" spans="1:23" x14ac:dyDescent="0.2">
      <c r="A413" s="4">
        <v>50</v>
      </c>
      <c r="B413" s="4">
        <v>0</v>
      </c>
      <c r="C413" s="4">
        <v>0</v>
      </c>
      <c r="D413" s="4">
        <v>1</v>
      </c>
      <c r="E413" s="4">
        <v>210</v>
      </c>
      <c r="F413" s="4">
        <f>ROUND(Source!X388,O413)</f>
        <v>14111.93</v>
      </c>
      <c r="G413" s="4" t="s">
        <v>117</v>
      </c>
      <c r="H413" s="4" t="s">
        <v>118</v>
      </c>
      <c r="I413" s="4"/>
      <c r="J413" s="4"/>
      <c r="K413" s="4">
        <v>210</v>
      </c>
      <c r="L413" s="4">
        <v>24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/>
    </row>
    <row r="414" spans="1:23" x14ac:dyDescent="0.2">
      <c r="A414" s="4">
        <v>50</v>
      </c>
      <c r="B414" s="4">
        <v>0</v>
      </c>
      <c r="C414" s="4">
        <v>0</v>
      </c>
      <c r="D414" s="4">
        <v>1</v>
      </c>
      <c r="E414" s="4">
        <v>211</v>
      </c>
      <c r="F414" s="4">
        <f>ROUND(Source!Y388,O414)</f>
        <v>2015.99</v>
      </c>
      <c r="G414" s="4" t="s">
        <v>119</v>
      </c>
      <c r="H414" s="4" t="s">
        <v>120</v>
      </c>
      <c r="I414" s="4"/>
      <c r="J414" s="4"/>
      <c r="K414" s="4">
        <v>211</v>
      </c>
      <c r="L414" s="4">
        <v>25</v>
      </c>
      <c r="M414" s="4">
        <v>3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/>
    </row>
    <row r="415" spans="1:23" x14ac:dyDescent="0.2">
      <c r="A415" s="4">
        <v>50</v>
      </c>
      <c r="B415" s="4">
        <v>0</v>
      </c>
      <c r="C415" s="4">
        <v>0</v>
      </c>
      <c r="D415" s="4">
        <v>1</v>
      </c>
      <c r="E415" s="4">
        <v>224</v>
      </c>
      <c r="F415" s="4">
        <f>ROUND(Source!AR388,O415)</f>
        <v>685559.72</v>
      </c>
      <c r="G415" s="4" t="s">
        <v>121</v>
      </c>
      <c r="H415" s="4" t="s">
        <v>122</v>
      </c>
      <c r="I415" s="4"/>
      <c r="J415" s="4"/>
      <c r="K415" s="4">
        <v>224</v>
      </c>
      <c r="L415" s="4">
        <v>26</v>
      </c>
      <c r="M415" s="4">
        <v>3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/>
    </row>
    <row r="416" spans="1:23" x14ac:dyDescent="0.2">
      <c r="A416" s="4">
        <v>50</v>
      </c>
      <c r="B416" s="4">
        <v>1</v>
      </c>
      <c r="C416" s="4">
        <v>0</v>
      </c>
      <c r="D416" s="4">
        <v>2</v>
      </c>
      <c r="E416" s="4">
        <v>0</v>
      </c>
      <c r="F416" s="4">
        <f>ROUND(F415,O416)</f>
        <v>685559.72</v>
      </c>
      <c r="G416" s="4" t="s">
        <v>19</v>
      </c>
      <c r="H416" s="4" t="s">
        <v>123</v>
      </c>
      <c r="I416" s="4"/>
      <c r="J416" s="4"/>
      <c r="K416" s="4">
        <v>212</v>
      </c>
      <c r="L416" s="4">
        <v>27</v>
      </c>
      <c r="M416" s="4">
        <v>0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/>
    </row>
    <row r="417" spans="1:245" x14ac:dyDescent="0.2">
      <c r="A417" s="4">
        <v>50</v>
      </c>
      <c r="B417" s="4">
        <v>1</v>
      </c>
      <c r="C417" s="4">
        <v>0</v>
      </c>
      <c r="D417" s="4">
        <v>2</v>
      </c>
      <c r="E417" s="4">
        <v>0</v>
      </c>
      <c r="F417" s="4">
        <f>ROUND(F416*0.2,O417)</f>
        <v>137111.94</v>
      </c>
      <c r="G417" s="4" t="s">
        <v>27</v>
      </c>
      <c r="H417" s="4" t="s">
        <v>124</v>
      </c>
      <c r="I417" s="4"/>
      <c r="J417" s="4"/>
      <c r="K417" s="4">
        <v>212</v>
      </c>
      <c r="L417" s="4">
        <v>28</v>
      </c>
      <c r="M417" s="4">
        <v>0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/>
    </row>
    <row r="418" spans="1:245" x14ac:dyDescent="0.2">
      <c r="A418" s="4">
        <v>50</v>
      </c>
      <c r="B418" s="4">
        <v>1</v>
      </c>
      <c r="C418" s="4">
        <v>0</v>
      </c>
      <c r="D418" s="4">
        <v>2</v>
      </c>
      <c r="E418" s="4">
        <v>0</v>
      </c>
      <c r="F418" s="4">
        <f>ROUND(F416+F417,O418)</f>
        <v>822671.66</v>
      </c>
      <c r="G418" s="4" t="s">
        <v>31</v>
      </c>
      <c r="H418" s="4" t="s">
        <v>121</v>
      </c>
      <c r="I418" s="4"/>
      <c r="J418" s="4"/>
      <c r="K418" s="4">
        <v>212</v>
      </c>
      <c r="L418" s="4">
        <v>29</v>
      </c>
      <c r="M418" s="4">
        <v>0</v>
      </c>
      <c r="N418" s="4" t="s">
        <v>3</v>
      </c>
      <c r="O418" s="4">
        <v>2</v>
      </c>
      <c r="P418" s="4"/>
      <c r="Q418" s="4"/>
      <c r="R418" s="4"/>
      <c r="S418" s="4"/>
      <c r="T418" s="4"/>
      <c r="U418" s="4"/>
      <c r="V418" s="4"/>
      <c r="W418" s="4"/>
    </row>
    <row r="420" spans="1:245" x14ac:dyDescent="0.2">
      <c r="A420" s="1">
        <v>4</v>
      </c>
      <c r="B420" s="1">
        <v>1</v>
      </c>
      <c r="C420" s="1"/>
      <c r="D420" s="1">
        <f>ROW(A426)</f>
        <v>426</v>
      </c>
      <c r="E420" s="1"/>
      <c r="F420" s="1" t="s">
        <v>17</v>
      </c>
      <c r="G420" s="1" t="s">
        <v>265</v>
      </c>
      <c r="H420" s="1" t="s">
        <v>3</v>
      </c>
      <c r="I420" s="1">
        <v>0</v>
      </c>
      <c r="J420" s="1"/>
      <c r="K420" s="1">
        <v>-1</v>
      </c>
      <c r="L420" s="1"/>
      <c r="M420" s="1"/>
      <c r="N420" s="1"/>
      <c r="O420" s="1"/>
      <c r="P420" s="1"/>
      <c r="Q420" s="1"/>
      <c r="R420" s="1"/>
      <c r="S420" s="1"/>
      <c r="T420" s="1"/>
      <c r="U420" s="1" t="s">
        <v>3</v>
      </c>
      <c r="V420" s="1">
        <v>0</v>
      </c>
      <c r="W420" s="1"/>
      <c r="X420" s="1"/>
      <c r="Y420" s="1"/>
      <c r="Z420" s="1"/>
      <c r="AA420" s="1"/>
      <c r="AB420" s="1" t="s">
        <v>3</v>
      </c>
      <c r="AC420" s="1" t="s">
        <v>3</v>
      </c>
      <c r="AD420" s="1" t="s">
        <v>3</v>
      </c>
      <c r="AE420" s="1" t="s">
        <v>3</v>
      </c>
      <c r="AF420" s="1" t="s">
        <v>3</v>
      </c>
      <c r="AG420" s="1" t="s">
        <v>3</v>
      </c>
      <c r="AH420" s="1"/>
      <c r="AI420" s="1"/>
      <c r="AJ420" s="1"/>
      <c r="AK420" s="1"/>
      <c r="AL420" s="1"/>
      <c r="AM420" s="1"/>
      <c r="AN420" s="1"/>
      <c r="AO420" s="1"/>
      <c r="AP420" s="1" t="s">
        <v>3</v>
      </c>
      <c r="AQ420" s="1" t="s">
        <v>3</v>
      </c>
      <c r="AR420" s="1" t="s">
        <v>3</v>
      </c>
      <c r="AS420" s="1"/>
      <c r="AT420" s="1"/>
      <c r="AU420" s="1"/>
      <c r="AV420" s="1"/>
      <c r="AW420" s="1"/>
      <c r="AX420" s="1"/>
      <c r="AY420" s="1"/>
      <c r="AZ420" s="1" t="s">
        <v>3</v>
      </c>
      <c r="BA420" s="1"/>
      <c r="BB420" s="1" t="s">
        <v>3</v>
      </c>
      <c r="BC420" s="1" t="s">
        <v>3</v>
      </c>
      <c r="BD420" s="1" t="s">
        <v>3</v>
      </c>
      <c r="BE420" s="1" t="s">
        <v>3</v>
      </c>
      <c r="BF420" s="1" t="s">
        <v>3</v>
      </c>
      <c r="BG420" s="1" t="s">
        <v>3</v>
      </c>
      <c r="BH420" s="1" t="s">
        <v>3</v>
      </c>
      <c r="BI420" s="1" t="s">
        <v>3</v>
      </c>
      <c r="BJ420" s="1" t="s">
        <v>3</v>
      </c>
      <c r="BK420" s="1" t="s">
        <v>3</v>
      </c>
      <c r="BL420" s="1" t="s">
        <v>3</v>
      </c>
      <c r="BM420" s="1" t="s">
        <v>3</v>
      </c>
      <c r="BN420" s="1" t="s">
        <v>3</v>
      </c>
      <c r="BO420" s="1" t="s">
        <v>3</v>
      </c>
      <c r="BP420" s="1" t="s">
        <v>3</v>
      </c>
      <c r="BQ420" s="1"/>
      <c r="BR420" s="1"/>
      <c r="BS420" s="1"/>
      <c r="BT420" s="1"/>
      <c r="BU420" s="1"/>
      <c r="BV420" s="1"/>
      <c r="BW420" s="1"/>
      <c r="BX420" s="1">
        <v>0</v>
      </c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>
        <v>0</v>
      </c>
    </row>
    <row r="422" spans="1:245" x14ac:dyDescent="0.2">
      <c r="A422" s="2">
        <v>52</v>
      </c>
      <c r="B422" s="2">
        <f t="shared" ref="B422:G422" si="315">B426</f>
        <v>1</v>
      </c>
      <c r="C422" s="2">
        <f t="shared" si="315"/>
        <v>4</v>
      </c>
      <c r="D422" s="2">
        <f t="shared" si="315"/>
        <v>420</v>
      </c>
      <c r="E422" s="2">
        <f t="shared" si="315"/>
        <v>0</v>
      </c>
      <c r="F422" s="2" t="str">
        <f t="shared" si="315"/>
        <v>Новый раздел</v>
      </c>
      <c r="G422" s="2" t="str">
        <f t="shared" si="315"/>
        <v>Раздел 61. Демонтажные работы (Спорт. общестрой)</v>
      </c>
      <c r="H422" s="2"/>
      <c r="I422" s="2"/>
      <c r="J422" s="2"/>
      <c r="K422" s="2"/>
      <c r="L422" s="2"/>
      <c r="M422" s="2"/>
      <c r="N422" s="2"/>
      <c r="O422" s="2">
        <f t="shared" ref="O422:AT422" si="316">O426</f>
        <v>60241.27</v>
      </c>
      <c r="P422" s="2">
        <f t="shared" si="316"/>
        <v>0</v>
      </c>
      <c r="Q422" s="2">
        <f t="shared" si="316"/>
        <v>765.18</v>
      </c>
      <c r="R422" s="2">
        <f t="shared" si="316"/>
        <v>14.38</v>
      </c>
      <c r="S422" s="2">
        <f t="shared" si="316"/>
        <v>59476.09</v>
      </c>
      <c r="T422" s="2">
        <f t="shared" si="316"/>
        <v>0</v>
      </c>
      <c r="U422" s="2">
        <f t="shared" si="316"/>
        <v>321.45760000000001</v>
      </c>
      <c r="V422" s="2">
        <f t="shared" si="316"/>
        <v>0</v>
      </c>
      <c r="W422" s="2">
        <f t="shared" si="316"/>
        <v>0</v>
      </c>
      <c r="X422" s="2">
        <f t="shared" si="316"/>
        <v>41633.26</v>
      </c>
      <c r="Y422" s="2">
        <f t="shared" si="316"/>
        <v>5947.61</v>
      </c>
      <c r="Z422" s="2">
        <f t="shared" si="316"/>
        <v>0</v>
      </c>
      <c r="AA422" s="2">
        <f t="shared" si="316"/>
        <v>0</v>
      </c>
      <c r="AB422" s="2">
        <f t="shared" si="316"/>
        <v>60241.27</v>
      </c>
      <c r="AC422" s="2">
        <f t="shared" si="316"/>
        <v>0</v>
      </c>
      <c r="AD422" s="2">
        <f t="shared" si="316"/>
        <v>765.18</v>
      </c>
      <c r="AE422" s="2">
        <f t="shared" si="316"/>
        <v>14.38</v>
      </c>
      <c r="AF422" s="2">
        <f t="shared" si="316"/>
        <v>59476.09</v>
      </c>
      <c r="AG422" s="2">
        <f t="shared" si="316"/>
        <v>0</v>
      </c>
      <c r="AH422" s="2">
        <f t="shared" si="316"/>
        <v>321.45760000000001</v>
      </c>
      <c r="AI422" s="2">
        <f t="shared" si="316"/>
        <v>0</v>
      </c>
      <c r="AJ422" s="2">
        <f t="shared" si="316"/>
        <v>0</v>
      </c>
      <c r="AK422" s="2">
        <f t="shared" si="316"/>
        <v>41633.26</v>
      </c>
      <c r="AL422" s="2">
        <f t="shared" si="316"/>
        <v>5947.61</v>
      </c>
      <c r="AM422" s="2">
        <f t="shared" si="316"/>
        <v>0</v>
      </c>
      <c r="AN422" s="2">
        <f t="shared" si="316"/>
        <v>0</v>
      </c>
      <c r="AO422" s="2">
        <f t="shared" si="316"/>
        <v>0</v>
      </c>
      <c r="AP422" s="2">
        <f t="shared" si="316"/>
        <v>0</v>
      </c>
      <c r="AQ422" s="2">
        <f t="shared" si="316"/>
        <v>0</v>
      </c>
      <c r="AR422" s="2">
        <f t="shared" si="316"/>
        <v>107837.67</v>
      </c>
      <c r="AS422" s="2">
        <f t="shared" si="316"/>
        <v>0</v>
      </c>
      <c r="AT422" s="2">
        <f t="shared" si="316"/>
        <v>0</v>
      </c>
      <c r="AU422" s="2">
        <f t="shared" ref="AU422:BZ422" si="317">AU426</f>
        <v>107837.67</v>
      </c>
      <c r="AV422" s="2">
        <f t="shared" si="317"/>
        <v>0</v>
      </c>
      <c r="AW422" s="2">
        <f t="shared" si="317"/>
        <v>0</v>
      </c>
      <c r="AX422" s="2">
        <f t="shared" si="317"/>
        <v>0</v>
      </c>
      <c r="AY422" s="2">
        <f t="shared" si="317"/>
        <v>0</v>
      </c>
      <c r="AZ422" s="2">
        <f t="shared" si="317"/>
        <v>0</v>
      </c>
      <c r="BA422" s="2">
        <f t="shared" si="317"/>
        <v>0</v>
      </c>
      <c r="BB422" s="2">
        <f t="shared" si="317"/>
        <v>0</v>
      </c>
      <c r="BC422" s="2">
        <f t="shared" si="317"/>
        <v>0</v>
      </c>
      <c r="BD422" s="2">
        <f t="shared" si="317"/>
        <v>0</v>
      </c>
      <c r="BE422" s="2">
        <f t="shared" si="317"/>
        <v>0</v>
      </c>
      <c r="BF422" s="2">
        <f t="shared" si="317"/>
        <v>0</v>
      </c>
      <c r="BG422" s="2">
        <f t="shared" si="317"/>
        <v>0</v>
      </c>
      <c r="BH422" s="2">
        <f t="shared" si="317"/>
        <v>0</v>
      </c>
      <c r="BI422" s="2">
        <f t="shared" si="317"/>
        <v>0</v>
      </c>
      <c r="BJ422" s="2">
        <f t="shared" si="317"/>
        <v>0</v>
      </c>
      <c r="BK422" s="2">
        <f t="shared" si="317"/>
        <v>0</v>
      </c>
      <c r="BL422" s="2">
        <f t="shared" si="317"/>
        <v>0</v>
      </c>
      <c r="BM422" s="2">
        <f t="shared" si="317"/>
        <v>0</v>
      </c>
      <c r="BN422" s="2">
        <f t="shared" si="317"/>
        <v>0</v>
      </c>
      <c r="BO422" s="2">
        <f t="shared" si="317"/>
        <v>0</v>
      </c>
      <c r="BP422" s="2">
        <f t="shared" si="317"/>
        <v>0</v>
      </c>
      <c r="BQ422" s="2">
        <f t="shared" si="317"/>
        <v>0</v>
      </c>
      <c r="BR422" s="2">
        <f t="shared" si="317"/>
        <v>0</v>
      </c>
      <c r="BS422" s="2">
        <f t="shared" si="317"/>
        <v>0</v>
      </c>
      <c r="BT422" s="2">
        <f t="shared" si="317"/>
        <v>0</v>
      </c>
      <c r="BU422" s="2">
        <f t="shared" si="317"/>
        <v>0</v>
      </c>
      <c r="BV422" s="2">
        <f t="shared" si="317"/>
        <v>0</v>
      </c>
      <c r="BW422" s="2">
        <f t="shared" si="317"/>
        <v>0</v>
      </c>
      <c r="BX422" s="2">
        <f t="shared" si="317"/>
        <v>0</v>
      </c>
      <c r="BY422" s="2">
        <f t="shared" si="317"/>
        <v>0</v>
      </c>
      <c r="BZ422" s="2">
        <f t="shared" si="317"/>
        <v>0</v>
      </c>
      <c r="CA422" s="2">
        <f t="shared" ref="CA422:DF422" si="318">CA426</f>
        <v>107837.67</v>
      </c>
      <c r="CB422" s="2">
        <f t="shared" si="318"/>
        <v>0</v>
      </c>
      <c r="CC422" s="2">
        <f t="shared" si="318"/>
        <v>0</v>
      </c>
      <c r="CD422" s="2">
        <f t="shared" si="318"/>
        <v>107837.67</v>
      </c>
      <c r="CE422" s="2">
        <f t="shared" si="318"/>
        <v>0</v>
      </c>
      <c r="CF422" s="2">
        <f t="shared" si="318"/>
        <v>0</v>
      </c>
      <c r="CG422" s="2">
        <f t="shared" si="318"/>
        <v>0</v>
      </c>
      <c r="CH422" s="2">
        <f t="shared" si="318"/>
        <v>0</v>
      </c>
      <c r="CI422" s="2">
        <f t="shared" si="318"/>
        <v>0</v>
      </c>
      <c r="CJ422" s="2">
        <f t="shared" si="318"/>
        <v>0</v>
      </c>
      <c r="CK422" s="2">
        <f t="shared" si="318"/>
        <v>0</v>
      </c>
      <c r="CL422" s="2">
        <f t="shared" si="318"/>
        <v>0</v>
      </c>
      <c r="CM422" s="2">
        <f t="shared" si="318"/>
        <v>0</v>
      </c>
      <c r="CN422" s="2">
        <f t="shared" si="318"/>
        <v>0</v>
      </c>
      <c r="CO422" s="2">
        <f t="shared" si="318"/>
        <v>0</v>
      </c>
      <c r="CP422" s="2">
        <f t="shared" si="318"/>
        <v>0</v>
      </c>
      <c r="CQ422" s="2">
        <f t="shared" si="318"/>
        <v>0</v>
      </c>
      <c r="CR422" s="2">
        <f t="shared" si="318"/>
        <v>0</v>
      </c>
      <c r="CS422" s="2">
        <f t="shared" si="318"/>
        <v>0</v>
      </c>
      <c r="CT422" s="2">
        <f t="shared" si="318"/>
        <v>0</v>
      </c>
      <c r="CU422" s="2">
        <f t="shared" si="318"/>
        <v>0</v>
      </c>
      <c r="CV422" s="2">
        <f t="shared" si="318"/>
        <v>0</v>
      </c>
      <c r="CW422" s="2">
        <f t="shared" si="318"/>
        <v>0</v>
      </c>
      <c r="CX422" s="2">
        <f t="shared" si="318"/>
        <v>0</v>
      </c>
      <c r="CY422" s="2">
        <f t="shared" si="318"/>
        <v>0</v>
      </c>
      <c r="CZ422" s="2">
        <f t="shared" si="318"/>
        <v>0</v>
      </c>
      <c r="DA422" s="2">
        <f t="shared" si="318"/>
        <v>0</v>
      </c>
      <c r="DB422" s="2">
        <f t="shared" si="318"/>
        <v>0</v>
      </c>
      <c r="DC422" s="2">
        <f t="shared" si="318"/>
        <v>0</v>
      </c>
      <c r="DD422" s="2">
        <f t="shared" si="318"/>
        <v>0</v>
      </c>
      <c r="DE422" s="2">
        <f t="shared" si="318"/>
        <v>0</v>
      </c>
      <c r="DF422" s="2">
        <f t="shared" si="318"/>
        <v>0</v>
      </c>
      <c r="DG422" s="3">
        <f t="shared" ref="DG422:EL422" si="319">DG426</f>
        <v>0</v>
      </c>
      <c r="DH422" s="3">
        <f t="shared" si="319"/>
        <v>0</v>
      </c>
      <c r="DI422" s="3">
        <f t="shared" si="319"/>
        <v>0</v>
      </c>
      <c r="DJ422" s="3">
        <f t="shared" si="319"/>
        <v>0</v>
      </c>
      <c r="DK422" s="3">
        <f t="shared" si="319"/>
        <v>0</v>
      </c>
      <c r="DL422" s="3">
        <f t="shared" si="319"/>
        <v>0</v>
      </c>
      <c r="DM422" s="3">
        <f t="shared" si="319"/>
        <v>0</v>
      </c>
      <c r="DN422" s="3">
        <f t="shared" si="319"/>
        <v>0</v>
      </c>
      <c r="DO422" s="3">
        <f t="shared" si="319"/>
        <v>0</v>
      </c>
      <c r="DP422" s="3">
        <f t="shared" si="319"/>
        <v>0</v>
      </c>
      <c r="DQ422" s="3">
        <f t="shared" si="319"/>
        <v>0</v>
      </c>
      <c r="DR422" s="3">
        <f t="shared" si="319"/>
        <v>0</v>
      </c>
      <c r="DS422" s="3">
        <f t="shared" si="319"/>
        <v>0</v>
      </c>
      <c r="DT422" s="3">
        <f t="shared" si="319"/>
        <v>0</v>
      </c>
      <c r="DU422" s="3">
        <f t="shared" si="319"/>
        <v>0</v>
      </c>
      <c r="DV422" s="3">
        <f t="shared" si="319"/>
        <v>0</v>
      </c>
      <c r="DW422" s="3">
        <f t="shared" si="319"/>
        <v>0</v>
      </c>
      <c r="DX422" s="3">
        <f t="shared" si="319"/>
        <v>0</v>
      </c>
      <c r="DY422" s="3">
        <f t="shared" si="319"/>
        <v>0</v>
      </c>
      <c r="DZ422" s="3">
        <f t="shared" si="319"/>
        <v>0</v>
      </c>
      <c r="EA422" s="3">
        <f t="shared" si="319"/>
        <v>0</v>
      </c>
      <c r="EB422" s="3">
        <f t="shared" si="319"/>
        <v>0</v>
      </c>
      <c r="EC422" s="3">
        <f t="shared" si="319"/>
        <v>0</v>
      </c>
      <c r="ED422" s="3">
        <f t="shared" si="319"/>
        <v>0</v>
      </c>
      <c r="EE422" s="3">
        <f t="shared" si="319"/>
        <v>0</v>
      </c>
      <c r="EF422" s="3">
        <f t="shared" si="319"/>
        <v>0</v>
      </c>
      <c r="EG422" s="3">
        <f t="shared" si="319"/>
        <v>0</v>
      </c>
      <c r="EH422" s="3">
        <f t="shared" si="319"/>
        <v>0</v>
      </c>
      <c r="EI422" s="3">
        <f t="shared" si="319"/>
        <v>0</v>
      </c>
      <c r="EJ422" s="3">
        <f t="shared" si="319"/>
        <v>0</v>
      </c>
      <c r="EK422" s="3">
        <f t="shared" si="319"/>
        <v>0</v>
      </c>
      <c r="EL422" s="3">
        <f t="shared" si="319"/>
        <v>0</v>
      </c>
      <c r="EM422" s="3">
        <f t="shared" ref="EM422:FR422" si="320">EM426</f>
        <v>0</v>
      </c>
      <c r="EN422" s="3">
        <f t="shared" si="320"/>
        <v>0</v>
      </c>
      <c r="EO422" s="3">
        <f t="shared" si="320"/>
        <v>0</v>
      </c>
      <c r="EP422" s="3">
        <f t="shared" si="320"/>
        <v>0</v>
      </c>
      <c r="EQ422" s="3">
        <f t="shared" si="320"/>
        <v>0</v>
      </c>
      <c r="ER422" s="3">
        <f t="shared" si="320"/>
        <v>0</v>
      </c>
      <c r="ES422" s="3">
        <f t="shared" si="320"/>
        <v>0</v>
      </c>
      <c r="ET422" s="3">
        <f t="shared" si="320"/>
        <v>0</v>
      </c>
      <c r="EU422" s="3">
        <f t="shared" si="320"/>
        <v>0</v>
      </c>
      <c r="EV422" s="3">
        <f t="shared" si="320"/>
        <v>0</v>
      </c>
      <c r="EW422" s="3">
        <f t="shared" si="320"/>
        <v>0</v>
      </c>
      <c r="EX422" s="3">
        <f t="shared" si="320"/>
        <v>0</v>
      </c>
      <c r="EY422" s="3">
        <f t="shared" si="320"/>
        <v>0</v>
      </c>
      <c r="EZ422" s="3">
        <f t="shared" si="320"/>
        <v>0</v>
      </c>
      <c r="FA422" s="3">
        <f t="shared" si="320"/>
        <v>0</v>
      </c>
      <c r="FB422" s="3">
        <f t="shared" si="320"/>
        <v>0</v>
      </c>
      <c r="FC422" s="3">
        <f t="shared" si="320"/>
        <v>0</v>
      </c>
      <c r="FD422" s="3">
        <f t="shared" si="320"/>
        <v>0</v>
      </c>
      <c r="FE422" s="3">
        <f t="shared" si="320"/>
        <v>0</v>
      </c>
      <c r="FF422" s="3">
        <f t="shared" si="320"/>
        <v>0</v>
      </c>
      <c r="FG422" s="3">
        <f t="shared" si="320"/>
        <v>0</v>
      </c>
      <c r="FH422" s="3">
        <f t="shared" si="320"/>
        <v>0</v>
      </c>
      <c r="FI422" s="3">
        <f t="shared" si="320"/>
        <v>0</v>
      </c>
      <c r="FJ422" s="3">
        <f t="shared" si="320"/>
        <v>0</v>
      </c>
      <c r="FK422" s="3">
        <f t="shared" si="320"/>
        <v>0</v>
      </c>
      <c r="FL422" s="3">
        <f t="shared" si="320"/>
        <v>0</v>
      </c>
      <c r="FM422" s="3">
        <f t="shared" si="320"/>
        <v>0</v>
      </c>
      <c r="FN422" s="3">
        <f t="shared" si="320"/>
        <v>0</v>
      </c>
      <c r="FO422" s="3">
        <f t="shared" si="320"/>
        <v>0</v>
      </c>
      <c r="FP422" s="3">
        <f t="shared" si="320"/>
        <v>0</v>
      </c>
      <c r="FQ422" s="3">
        <f t="shared" si="320"/>
        <v>0</v>
      </c>
      <c r="FR422" s="3">
        <f t="shared" si="320"/>
        <v>0</v>
      </c>
      <c r="FS422" s="3">
        <f t="shared" ref="FS422:GX422" si="321">FS426</f>
        <v>0</v>
      </c>
      <c r="FT422" s="3">
        <f t="shared" si="321"/>
        <v>0</v>
      </c>
      <c r="FU422" s="3">
        <f t="shared" si="321"/>
        <v>0</v>
      </c>
      <c r="FV422" s="3">
        <f t="shared" si="321"/>
        <v>0</v>
      </c>
      <c r="FW422" s="3">
        <f t="shared" si="321"/>
        <v>0</v>
      </c>
      <c r="FX422" s="3">
        <f t="shared" si="321"/>
        <v>0</v>
      </c>
      <c r="FY422" s="3">
        <f t="shared" si="321"/>
        <v>0</v>
      </c>
      <c r="FZ422" s="3">
        <f t="shared" si="321"/>
        <v>0</v>
      </c>
      <c r="GA422" s="3">
        <f t="shared" si="321"/>
        <v>0</v>
      </c>
      <c r="GB422" s="3">
        <f t="shared" si="321"/>
        <v>0</v>
      </c>
      <c r="GC422" s="3">
        <f t="shared" si="321"/>
        <v>0</v>
      </c>
      <c r="GD422" s="3">
        <f t="shared" si="321"/>
        <v>0</v>
      </c>
      <c r="GE422" s="3">
        <f t="shared" si="321"/>
        <v>0</v>
      </c>
      <c r="GF422" s="3">
        <f t="shared" si="321"/>
        <v>0</v>
      </c>
      <c r="GG422" s="3">
        <f t="shared" si="321"/>
        <v>0</v>
      </c>
      <c r="GH422" s="3">
        <f t="shared" si="321"/>
        <v>0</v>
      </c>
      <c r="GI422" s="3">
        <f t="shared" si="321"/>
        <v>0</v>
      </c>
      <c r="GJ422" s="3">
        <f t="shared" si="321"/>
        <v>0</v>
      </c>
      <c r="GK422" s="3">
        <f t="shared" si="321"/>
        <v>0</v>
      </c>
      <c r="GL422" s="3">
        <f t="shared" si="321"/>
        <v>0</v>
      </c>
      <c r="GM422" s="3">
        <f t="shared" si="321"/>
        <v>0</v>
      </c>
      <c r="GN422" s="3">
        <f t="shared" si="321"/>
        <v>0</v>
      </c>
      <c r="GO422" s="3">
        <f t="shared" si="321"/>
        <v>0</v>
      </c>
      <c r="GP422" s="3">
        <f t="shared" si="321"/>
        <v>0</v>
      </c>
      <c r="GQ422" s="3">
        <f t="shared" si="321"/>
        <v>0</v>
      </c>
      <c r="GR422" s="3">
        <f t="shared" si="321"/>
        <v>0</v>
      </c>
      <c r="GS422" s="3">
        <f t="shared" si="321"/>
        <v>0</v>
      </c>
      <c r="GT422" s="3">
        <f t="shared" si="321"/>
        <v>0</v>
      </c>
      <c r="GU422" s="3">
        <f t="shared" si="321"/>
        <v>0</v>
      </c>
      <c r="GV422" s="3">
        <f t="shared" si="321"/>
        <v>0</v>
      </c>
      <c r="GW422" s="3">
        <f t="shared" si="321"/>
        <v>0</v>
      </c>
      <c r="GX422" s="3">
        <f t="shared" si="321"/>
        <v>0</v>
      </c>
    </row>
    <row r="424" spans="1:245" x14ac:dyDescent="0.2">
      <c r="A424">
        <v>17</v>
      </c>
      <c r="B424">
        <v>1</v>
      </c>
      <c r="C424">
        <f>ROW(SmtRes!A187)</f>
        <v>187</v>
      </c>
      <c r="D424">
        <f>ROW(EtalonRes!A184)</f>
        <v>184</v>
      </c>
      <c r="E424" t="s">
        <v>266</v>
      </c>
      <c r="F424" t="s">
        <v>267</v>
      </c>
      <c r="G424" t="s">
        <v>268</v>
      </c>
      <c r="H424" t="s">
        <v>63</v>
      </c>
      <c r="I424">
        <f>ROUND(62/100,9)</f>
        <v>0.62</v>
      </c>
      <c r="J424">
        <v>0</v>
      </c>
      <c r="O424">
        <f>ROUND(CP424,2)</f>
        <v>60241.27</v>
      </c>
      <c r="P424">
        <f>ROUND(CQ424*I424,2)</f>
        <v>0</v>
      </c>
      <c r="Q424">
        <f>ROUND(CR424*I424,2)</f>
        <v>765.18</v>
      </c>
      <c r="R424">
        <f>ROUND(CS424*I424,2)</f>
        <v>14.38</v>
      </c>
      <c r="S424">
        <f>ROUND(CT424*I424,2)</f>
        <v>59476.09</v>
      </c>
      <c r="T424">
        <f>ROUND(CU424*I424,2)</f>
        <v>0</v>
      </c>
      <c r="U424">
        <f>CV424*I424</f>
        <v>321.45760000000001</v>
      </c>
      <c r="V424">
        <f>CW424*I424</f>
        <v>0</v>
      </c>
      <c r="W424">
        <f>ROUND(CX424*I424,2)</f>
        <v>0</v>
      </c>
      <c r="X424">
        <f>ROUND(CY424,2)</f>
        <v>41633.26</v>
      </c>
      <c r="Y424">
        <f>ROUND(CZ424,2)</f>
        <v>5947.61</v>
      </c>
      <c r="AA424">
        <v>42184655</v>
      </c>
      <c r="AB424">
        <f>ROUND((AC424+AD424+AF424),6)</f>
        <v>97163.33</v>
      </c>
      <c r="AC424">
        <f>ROUND((ES424),6)</f>
        <v>0</v>
      </c>
      <c r="AD424">
        <f>ROUND((((ET424)-(EU424))+AE424),6)</f>
        <v>1234.1600000000001</v>
      </c>
      <c r="AE424">
        <f>ROUND((EU424),6)</f>
        <v>23.2</v>
      </c>
      <c r="AF424">
        <f>ROUND((EV424),6)</f>
        <v>95929.17</v>
      </c>
      <c r="AG424">
        <f>ROUND((AP424),6)</f>
        <v>0</v>
      </c>
      <c r="AH424">
        <f>(EW424)</f>
        <v>518.48</v>
      </c>
      <c r="AI424">
        <f>(EX424)</f>
        <v>0</v>
      </c>
      <c r="AJ424">
        <f>(AS424)</f>
        <v>0</v>
      </c>
      <c r="AK424">
        <v>97163.33</v>
      </c>
      <c r="AL424">
        <v>0</v>
      </c>
      <c r="AM424">
        <v>1234.1600000000001</v>
      </c>
      <c r="AN424">
        <v>23.2</v>
      </c>
      <c r="AO424">
        <v>95929.17</v>
      </c>
      <c r="AP424">
        <v>0</v>
      </c>
      <c r="AQ424">
        <v>518.48</v>
      </c>
      <c r="AR424">
        <v>0</v>
      </c>
      <c r="AS424">
        <v>0</v>
      </c>
      <c r="AT424">
        <v>70</v>
      </c>
      <c r="AU424">
        <v>10</v>
      </c>
      <c r="AV424">
        <v>1</v>
      </c>
      <c r="AW424">
        <v>1</v>
      </c>
      <c r="AZ424">
        <v>1</v>
      </c>
      <c r="BA424">
        <v>1</v>
      </c>
      <c r="BB424">
        <v>1</v>
      </c>
      <c r="BC424">
        <v>1</v>
      </c>
      <c r="BD424" t="s">
        <v>3</v>
      </c>
      <c r="BE424" t="s">
        <v>3</v>
      </c>
      <c r="BF424" t="s">
        <v>3</v>
      </c>
      <c r="BG424" t="s">
        <v>3</v>
      </c>
      <c r="BH424">
        <v>0</v>
      </c>
      <c r="BI424">
        <v>4</v>
      </c>
      <c r="BJ424" t="s">
        <v>269</v>
      </c>
      <c r="BM424">
        <v>0</v>
      </c>
      <c r="BN424">
        <v>0</v>
      </c>
      <c r="BO424" t="s">
        <v>3</v>
      </c>
      <c r="BP424">
        <v>0</v>
      </c>
      <c r="BQ424">
        <v>1</v>
      </c>
      <c r="BR424">
        <v>0</v>
      </c>
      <c r="BS424">
        <v>1</v>
      </c>
      <c r="BT424">
        <v>1</v>
      </c>
      <c r="BU424">
        <v>1</v>
      </c>
      <c r="BV424">
        <v>1</v>
      </c>
      <c r="BW424">
        <v>1</v>
      </c>
      <c r="BX424">
        <v>1</v>
      </c>
      <c r="BY424" t="s">
        <v>3</v>
      </c>
      <c r="BZ424">
        <v>70</v>
      </c>
      <c r="CA424">
        <v>10</v>
      </c>
      <c r="CE424">
        <v>0</v>
      </c>
      <c r="CF424">
        <v>0</v>
      </c>
      <c r="CG424">
        <v>0</v>
      </c>
      <c r="CM424">
        <v>0</v>
      </c>
      <c r="CN424" t="s">
        <v>3</v>
      </c>
      <c r="CO424">
        <v>0</v>
      </c>
      <c r="CP424">
        <f>(P424+Q424+S424)</f>
        <v>60241.27</v>
      </c>
      <c r="CQ424">
        <f>(AC424*BC424*AW424)</f>
        <v>0</v>
      </c>
      <c r="CR424">
        <f>((((ET424)*BB424-(EU424)*BS424)+AE424*BS424)*AV424)</f>
        <v>1234.1600000000001</v>
      </c>
      <c r="CS424">
        <f>(AE424*BS424*AV424)</f>
        <v>23.2</v>
      </c>
      <c r="CT424">
        <f>(AF424*BA424*AV424)</f>
        <v>95929.17</v>
      </c>
      <c r="CU424">
        <f>AG424</f>
        <v>0</v>
      </c>
      <c r="CV424">
        <f>(AH424*AV424)</f>
        <v>518.48</v>
      </c>
      <c r="CW424">
        <f>AI424</f>
        <v>0</v>
      </c>
      <c r="CX424">
        <f>AJ424</f>
        <v>0</v>
      </c>
      <c r="CY424">
        <f>((S424*BZ424)/100)</f>
        <v>41633.262999999999</v>
      </c>
      <c r="CZ424">
        <f>((S424*CA424)/100)</f>
        <v>5947.6089999999995</v>
      </c>
      <c r="DC424" t="s">
        <v>3</v>
      </c>
      <c r="DD424" t="s">
        <v>3</v>
      </c>
      <c r="DE424" t="s">
        <v>3</v>
      </c>
      <c r="DF424" t="s">
        <v>3</v>
      </c>
      <c r="DG424" t="s">
        <v>3</v>
      </c>
      <c r="DH424" t="s">
        <v>3</v>
      </c>
      <c r="DI424" t="s">
        <v>3</v>
      </c>
      <c r="DJ424" t="s">
        <v>3</v>
      </c>
      <c r="DK424" t="s">
        <v>3</v>
      </c>
      <c r="DL424" t="s">
        <v>3</v>
      </c>
      <c r="DM424" t="s">
        <v>3</v>
      </c>
      <c r="DN424">
        <v>0</v>
      </c>
      <c r="DO424">
        <v>0</v>
      </c>
      <c r="DP424">
        <v>1</v>
      </c>
      <c r="DQ424">
        <v>1</v>
      </c>
      <c r="DU424">
        <v>1005</v>
      </c>
      <c r="DV424" t="s">
        <v>63</v>
      </c>
      <c r="DW424" t="s">
        <v>63</v>
      </c>
      <c r="DX424">
        <v>100</v>
      </c>
      <c r="EE424">
        <v>40658659</v>
      </c>
      <c r="EF424">
        <v>1</v>
      </c>
      <c r="EG424" t="s">
        <v>24</v>
      </c>
      <c r="EH424">
        <v>0</v>
      </c>
      <c r="EI424" t="s">
        <v>3</v>
      </c>
      <c r="EJ424">
        <v>4</v>
      </c>
      <c r="EK424">
        <v>0</v>
      </c>
      <c r="EL424" t="s">
        <v>25</v>
      </c>
      <c r="EM424" t="s">
        <v>26</v>
      </c>
      <c r="EO424" t="s">
        <v>3</v>
      </c>
      <c r="EQ424">
        <v>0</v>
      </c>
      <c r="ER424">
        <v>97163.33</v>
      </c>
      <c r="ES424">
        <v>0</v>
      </c>
      <c r="ET424">
        <v>1234.1600000000001</v>
      </c>
      <c r="EU424">
        <v>23.2</v>
      </c>
      <c r="EV424">
        <v>95929.17</v>
      </c>
      <c r="EW424">
        <v>518.48</v>
      </c>
      <c r="EX424">
        <v>0</v>
      </c>
      <c r="EY424">
        <v>0</v>
      </c>
      <c r="FQ424">
        <v>0</v>
      </c>
      <c r="FR424">
        <f>ROUND(IF(AND(BH424=3,BI424=3),P424,0),2)</f>
        <v>0</v>
      </c>
      <c r="FS424">
        <v>0</v>
      </c>
      <c r="FX424">
        <v>70</v>
      </c>
      <c r="FY424">
        <v>10</v>
      </c>
      <c r="GA424" t="s">
        <v>3</v>
      </c>
      <c r="GD424">
        <v>0</v>
      </c>
      <c r="GF424">
        <v>-652551675</v>
      </c>
      <c r="GG424">
        <v>2</v>
      </c>
      <c r="GH424">
        <v>1</v>
      </c>
      <c r="GI424">
        <v>-2</v>
      </c>
      <c r="GJ424">
        <v>0</v>
      </c>
      <c r="GK424">
        <f>ROUND(R424*(R12)/100,2)</f>
        <v>15.53</v>
      </c>
      <c r="GL424">
        <f>ROUND(IF(AND(BH424=3,BI424=3,FS424&lt;&gt;0),P424,0),2)</f>
        <v>0</v>
      </c>
      <c r="GM424">
        <f>ROUND(O424+X424+Y424+GK424,2)+GX424</f>
        <v>107837.67</v>
      </c>
      <c r="GN424">
        <f>IF(OR(BI424=0,BI424=1),ROUND(O424+X424+Y424+GK424,2),0)</f>
        <v>0</v>
      </c>
      <c r="GO424">
        <f>IF(BI424=2,ROUND(O424+X424+Y424+GK424,2),0)</f>
        <v>0</v>
      </c>
      <c r="GP424">
        <f>IF(BI424=4,ROUND(O424+X424+Y424+GK424,2)+GX424,0)</f>
        <v>107837.67</v>
      </c>
      <c r="GR424">
        <v>0</v>
      </c>
      <c r="GS424">
        <v>3</v>
      </c>
      <c r="GT424">
        <v>0</v>
      </c>
      <c r="GU424" t="s">
        <v>3</v>
      </c>
      <c r="GV424">
        <f>ROUND((GT424),6)</f>
        <v>0</v>
      </c>
      <c r="GW424">
        <v>1</v>
      </c>
      <c r="GX424">
        <f>ROUND(HC424*I424,2)</f>
        <v>0</v>
      </c>
      <c r="HA424">
        <v>0</v>
      </c>
      <c r="HB424">
        <v>0</v>
      </c>
      <c r="HC424">
        <f>GV424*GW424</f>
        <v>0</v>
      </c>
      <c r="IK424">
        <v>0</v>
      </c>
    </row>
    <row r="426" spans="1:245" x14ac:dyDescent="0.2">
      <c r="A426" s="2">
        <v>51</v>
      </c>
      <c r="B426" s="2">
        <f>B420</f>
        <v>1</v>
      </c>
      <c r="C426" s="2">
        <f>A420</f>
        <v>4</v>
      </c>
      <c r="D426" s="2">
        <f>ROW(A420)</f>
        <v>420</v>
      </c>
      <c r="E426" s="2"/>
      <c r="F426" s="2" t="str">
        <f>IF(F420&lt;&gt;"",F420,"")</f>
        <v>Новый раздел</v>
      </c>
      <c r="G426" s="2" t="str">
        <f>IF(G420&lt;&gt;"",G420,"")</f>
        <v>Раздел 61. Демонтажные работы (Спорт. общестрой)</v>
      </c>
      <c r="H426" s="2">
        <v>0</v>
      </c>
      <c r="I426" s="2"/>
      <c r="J426" s="2"/>
      <c r="K426" s="2"/>
      <c r="L426" s="2"/>
      <c r="M426" s="2"/>
      <c r="N426" s="2"/>
      <c r="O426" s="2">
        <f t="shared" ref="O426:T426" si="322">ROUND(AB426,2)</f>
        <v>60241.27</v>
      </c>
      <c r="P426" s="2">
        <f t="shared" si="322"/>
        <v>0</v>
      </c>
      <c r="Q426" s="2">
        <f t="shared" si="322"/>
        <v>765.18</v>
      </c>
      <c r="R426" s="2">
        <f t="shared" si="322"/>
        <v>14.38</v>
      </c>
      <c r="S426" s="2">
        <f t="shared" si="322"/>
        <v>59476.09</v>
      </c>
      <c r="T426" s="2">
        <f t="shared" si="322"/>
        <v>0</v>
      </c>
      <c r="U426" s="2">
        <f>AH426</f>
        <v>321.45760000000001</v>
      </c>
      <c r="V426" s="2">
        <f>AI426</f>
        <v>0</v>
      </c>
      <c r="W426" s="2">
        <f>ROUND(AJ426,2)</f>
        <v>0</v>
      </c>
      <c r="X426" s="2">
        <f>ROUND(AK426,2)</f>
        <v>41633.26</v>
      </c>
      <c r="Y426" s="2">
        <f>ROUND(AL426,2)</f>
        <v>5947.61</v>
      </c>
      <c r="Z426" s="2"/>
      <c r="AA426" s="2"/>
      <c r="AB426" s="2">
        <f>ROUND(SUMIF(AA424:AA424,"=42184655",O424:O424),2)</f>
        <v>60241.27</v>
      </c>
      <c r="AC426" s="2">
        <f>ROUND(SUMIF(AA424:AA424,"=42184655",P424:P424),2)</f>
        <v>0</v>
      </c>
      <c r="AD426" s="2">
        <f>ROUND(SUMIF(AA424:AA424,"=42184655",Q424:Q424),2)</f>
        <v>765.18</v>
      </c>
      <c r="AE426" s="2">
        <f>ROUND(SUMIF(AA424:AA424,"=42184655",R424:R424),2)</f>
        <v>14.38</v>
      </c>
      <c r="AF426" s="2">
        <f>ROUND(SUMIF(AA424:AA424,"=42184655",S424:S424),2)</f>
        <v>59476.09</v>
      </c>
      <c r="AG426" s="2">
        <f>ROUND(SUMIF(AA424:AA424,"=42184655",T424:T424),2)</f>
        <v>0</v>
      </c>
      <c r="AH426" s="2">
        <f>SUMIF(AA424:AA424,"=42184655",U424:U424)</f>
        <v>321.45760000000001</v>
      </c>
      <c r="AI426" s="2">
        <f>SUMIF(AA424:AA424,"=42184655",V424:V424)</f>
        <v>0</v>
      </c>
      <c r="AJ426" s="2">
        <f>ROUND(SUMIF(AA424:AA424,"=42184655",W424:W424),2)</f>
        <v>0</v>
      </c>
      <c r="AK426" s="2">
        <f>ROUND(SUMIF(AA424:AA424,"=42184655",X424:X424),2)</f>
        <v>41633.26</v>
      </c>
      <c r="AL426" s="2">
        <f>ROUND(SUMIF(AA424:AA424,"=42184655",Y424:Y424),2)</f>
        <v>5947.61</v>
      </c>
      <c r="AM426" s="2"/>
      <c r="AN426" s="2"/>
      <c r="AO426" s="2">
        <f t="shared" ref="AO426:BC426" si="323">ROUND(BX426,2)</f>
        <v>0</v>
      </c>
      <c r="AP426" s="2">
        <f t="shared" si="323"/>
        <v>0</v>
      </c>
      <c r="AQ426" s="2">
        <f t="shared" si="323"/>
        <v>0</v>
      </c>
      <c r="AR426" s="2">
        <f t="shared" si="323"/>
        <v>107837.67</v>
      </c>
      <c r="AS426" s="2">
        <f t="shared" si="323"/>
        <v>0</v>
      </c>
      <c r="AT426" s="2">
        <f t="shared" si="323"/>
        <v>0</v>
      </c>
      <c r="AU426" s="2">
        <f t="shared" si="323"/>
        <v>107837.67</v>
      </c>
      <c r="AV426" s="2">
        <f t="shared" si="323"/>
        <v>0</v>
      </c>
      <c r="AW426" s="2">
        <f t="shared" si="323"/>
        <v>0</v>
      </c>
      <c r="AX426" s="2">
        <f t="shared" si="323"/>
        <v>0</v>
      </c>
      <c r="AY426" s="2">
        <f t="shared" si="323"/>
        <v>0</v>
      </c>
      <c r="AZ426" s="2">
        <f t="shared" si="323"/>
        <v>0</v>
      </c>
      <c r="BA426" s="2">
        <f t="shared" si="323"/>
        <v>0</v>
      </c>
      <c r="BB426" s="2">
        <f t="shared" si="323"/>
        <v>0</v>
      </c>
      <c r="BC426" s="2">
        <f t="shared" si="323"/>
        <v>0</v>
      </c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>
        <f>ROUND(SUMIF(AA424:AA424,"=42184655",FQ424:FQ424),2)</f>
        <v>0</v>
      </c>
      <c r="BY426" s="2">
        <f>ROUND(SUMIF(AA424:AA424,"=42184655",FR424:FR424),2)</f>
        <v>0</v>
      </c>
      <c r="BZ426" s="2">
        <f>ROUND(SUMIF(AA424:AA424,"=42184655",GL424:GL424),2)</f>
        <v>0</v>
      </c>
      <c r="CA426" s="2">
        <f>ROUND(SUMIF(AA424:AA424,"=42184655",GM424:GM424),2)</f>
        <v>107837.67</v>
      </c>
      <c r="CB426" s="2">
        <f>ROUND(SUMIF(AA424:AA424,"=42184655",GN424:GN424),2)</f>
        <v>0</v>
      </c>
      <c r="CC426" s="2">
        <f>ROUND(SUMIF(AA424:AA424,"=42184655",GO424:GO424),2)</f>
        <v>0</v>
      </c>
      <c r="CD426" s="2">
        <f>ROUND(SUMIF(AA424:AA424,"=42184655",GP424:GP424),2)</f>
        <v>107837.67</v>
      </c>
      <c r="CE426" s="2">
        <f>AC426-BX426</f>
        <v>0</v>
      </c>
      <c r="CF426" s="2">
        <f>AC426-BY426</f>
        <v>0</v>
      </c>
      <c r="CG426" s="2">
        <f>BX426-BZ426</f>
        <v>0</v>
      </c>
      <c r="CH426" s="2">
        <f>AC426-BX426-BY426+BZ426</f>
        <v>0</v>
      </c>
      <c r="CI426" s="2">
        <f>BY426-BZ426</f>
        <v>0</v>
      </c>
      <c r="CJ426" s="2">
        <f>ROUND(SUMIF(AA424:AA424,"=42184655",GX424:GX424),2)</f>
        <v>0</v>
      </c>
      <c r="CK426" s="2">
        <f>ROUND(SUMIF(AA424:AA424,"=42184655",GY424:GY424),2)</f>
        <v>0</v>
      </c>
      <c r="CL426" s="2">
        <f>ROUND(SUMIF(AA424:AA424,"=42184655",GZ424:GZ424),2)</f>
        <v>0</v>
      </c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>
        <v>0</v>
      </c>
    </row>
    <row r="428" spans="1:245" x14ac:dyDescent="0.2">
      <c r="A428" s="4">
        <v>50</v>
      </c>
      <c r="B428" s="4">
        <v>0</v>
      </c>
      <c r="C428" s="4">
        <v>0</v>
      </c>
      <c r="D428" s="4">
        <v>1</v>
      </c>
      <c r="E428" s="4">
        <v>201</v>
      </c>
      <c r="F428" s="4">
        <f>ROUND(Source!O426,O428)</f>
        <v>60241.27</v>
      </c>
      <c r="G428" s="4" t="s">
        <v>71</v>
      </c>
      <c r="H428" s="4" t="s">
        <v>72</v>
      </c>
      <c r="I428" s="4"/>
      <c r="J428" s="4"/>
      <c r="K428" s="4">
        <v>201</v>
      </c>
      <c r="L428" s="4">
        <v>1</v>
      </c>
      <c r="M428" s="4">
        <v>3</v>
      </c>
      <c r="N428" s="4" t="s">
        <v>3</v>
      </c>
      <c r="O428" s="4">
        <v>2</v>
      </c>
      <c r="P428" s="4"/>
      <c r="Q428" s="4"/>
      <c r="R428" s="4"/>
      <c r="S428" s="4"/>
      <c r="T428" s="4"/>
      <c r="U428" s="4"/>
      <c r="V428" s="4"/>
      <c r="W428" s="4"/>
    </row>
    <row r="429" spans="1:245" x14ac:dyDescent="0.2">
      <c r="A429" s="4">
        <v>50</v>
      </c>
      <c r="B429" s="4">
        <v>0</v>
      </c>
      <c r="C429" s="4">
        <v>0</v>
      </c>
      <c r="D429" s="4">
        <v>1</v>
      </c>
      <c r="E429" s="4">
        <v>202</v>
      </c>
      <c r="F429" s="4">
        <f>ROUND(Source!P426,O429)</f>
        <v>0</v>
      </c>
      <c r="G429" s="4" t="s">
        <v>73</v>
      </c>
      <c r="H429" s="4" t="s">
        <v>74</v>
      </c>
      <c r="I429" s="4"/>
      <c r="J429" s="4"/>
      <c r="K429" s="4">
        <v>202</v>
      </c>
      <c r="L429" s="4">
        <v>2</v>
      </c>
      <c r="M429" s="4">
        <v>3</v>
      </c>
      <c r="N429" s="4" t="s">
        <v>3</v>
      </c>
      <c r="O429" s="4">
        <v>2</v>
      </c>
      <c r="P429" s="4"/>
      <c r="Q429" s="4"/>
      <c r="R429" s="4"/>
      <c r="S429" s="4"/>
      <c r="T429" s="4"/>
      <c r="U429" s="4"/>
      <c r="V429" s="4"/>
      <c r="W429" s="4"/>
    </row>
    <row r="430" spans="1:245" x14ac:dyDescent="0.2">
      <c r="A430" s="4">
        <v>50</v>
      </c>
      <c r="B430" s="4">
        <v>0</v>
      </c>
      <c r="C430" s="4">
        <v>0</v>
      </c>
      <c r="D430" s="4">
        <v>1</v>
      </c>
      <c r="E430" s="4">
        <v>222</v>
      </c>
      <c r="F430" s="4">
        <f>ROUND(Source!AO426,O430)</f>
        <v>0</v>
      </c>
      <c r="G430" s="4" t="s">
        <v>75</v>
      </c>
      <c r="H430" s="4" t="s">
        <v>76</v>
      </c>
      <c r="I430" s="4"/>
      <c r="J430" s="4"/>
      <c r="K430" s="4">
        <v>222</v>
      </c>
      <c r="L430" s="4">
        <v>3</v>
      </c>
      <c r="M430" s="4">
        <v>3</v>
      </c>
      <c r="N430" s="4" t="s">
        <v>3</v>
      </c>
      <c r="O430" s="4">
        <v>2</v>
      </c>
      <c r="P430" s="4"/>
      <c r="Q430" s="4"/>
      <c r="R430" s="4"/>
      <c r="S430" s="4"/>
      <c r="T430" s="4"/>
      <c r="U430" s="4"/>
      <c r="V430" s="4"/>
      <c r="W430" s="4"/>
    </row>
    <row r="431" spans="1:245" x14ac:dyDescent="0.2">
      <c r="A431" s="4">
        <v>50</v>
      </c>
      <c r="B431" s="4">
        <v>0</v>
      </c>
      <c r="C431" s="4">
        <v>0</v>
      </c>
      <c r="D431" s="4">
        <v>1</v>
      </c>
      <c r="E431" s="4">
        <v>225</v>
      </c>
      <c r="F431" s="4">
        <f>ROUND(Source!AV426,O431)</f>
        <v>0</v>
      </c>
      <c r="G431" s="4" t="s">
        <v>77</v>
      </c>
      <c r="H431" s="4" t="s">
        <v>78</v>
      </c>
      <c r="I431" s="4"/>
      <c r="J431" s="4"/>
      <c r="K431" s="4">
        <v>225</v>
      </c>
      <c r="L431" s="4">
        <v>4</v>
      </c>
      <c r="M431" s="4">
        <v>3</v>
      </c>
      <c r="N431" s="4" t="s">
        <v>3</v>
      </c>
      <c r="O431" s="4">
        <v>2</v>
      </c>
      <c r="P431" s="4"/>
      <c r="Q431" s="4"/>
      <c r="R431" s="4"/>
      <c r="S431" s="4"/>
      <c r="T431" s="4"/>
      <c r="U431" s="4"/>
      <c r="V431" s="4"/>
      <c r="W431" s="4"/>
    </row>
    <row r="432" spans="1:245" x14ac:dyDescent="0.2">
      <c r="A432" s="4">
        <v>50</v>
      </c>
      <c r="B432" s="4">
        <v>0</v>
      </c>
      <c r="C432" s="4">
        <v>0</v>
      </c>
      <c r="D432" s="4">
        <v>1</v>
      </c>
      <c r="E432" s="4">
        <v>226</v>
      </c>
      <c r="F432" s="4">
        <f>ROUND(Source!AW426,O432)</f>
        <v>0</v>
      </c>
      <c r="G432" s="4" t="s">
        <v>79</v>
      </c>
      <c r="H432" s="4" t="s">
        <v>80</v>
      </c>
      <c r="I432" s="4"/>
      <c r="J432" s="4"/>
      <c r="K432" s="4">
        <v>226</v>
      </c>
      <c r="L432" s="4">
        <v>5</v>
      </c>
      <c r="M432" s="4">
        <v>3</v>
      </c>
      <c r="N432" s="4" t="s">
        <v>3</v>
      </c>
      <c r="O432" s="4">
        <v>2</v>
      </c>
      <c r="P432" s="4"/>
      <c r="Q432" s="4"/>
      <c r="R432" s="4"/>
      <c r="S432" s="4"/>
      <c r="T432" s="4"/>
      <c r="U432" s="4"/>
      <c r="V432" s="4"/>
      <c r="W432" s="4"/>
    </row>
    <row r="433" spans="1:23" x14ac:dyDescent="0.2">
      <c r="A433" s="4">
        <v>50</v>
      </c>
      <c r="B433" s="4">
        <v>0</v>
      </c>
      <c r="C433" s="4">
        <v>0</v>
      </c>
      <c r="D433" s="4">
        <v>1</v>
      </c>
      <c r="E433" s="4">
        <v>227</v>
      </c>
      <c r="F433" s="4">
        <f>ROUND(Source!AX426,O433)</f>
        <v>0</v>
      </c>
      <c r="G433" s="4" t="s">
        <v>81</v>
      </c>
      <c r="H433" s="4" t="s">
        <v>82</v>
      </c>
      <c r="I433" s="4"/>
      <c r="J433" s="4"/>
      <c r="K433" s="4">
        <v>227</v>
      </c>
      <c r="L433" s="4">
        <v>6</v>
      </c>
      <c r="M433" s="4">
        <v>3</v>
      </c>
      <c r="N433" s="4" t="s">
        <v>3</v>
      </c>
      <c r="O433" s="4">
        <v>2</v>
      </c>
      <c r="P433" s="4"/>
      <c r="Q433" s="4"/>
      <c r="R433" s="4"/>
      <c r="S433" s="4"/>
      <c r="T433" s="4"/>
      <c r="U433" s="4"/>
      <c r="V433" s="4"/>
      <c r="W433" s="4"/>
    </row>
    <row r="434" spans="1:23" x14ac:dyDescent="0.2">
      <c r="A434" s="4">
        <v>50</v>
      </c>
      <c r="B434" s="4">
        <v>0</v>
      </c>
      <c r="C434" s="4">
        <v>0</v>
      </c>
      <c r="D434" s="4">
        <v>1</v>
      </c>
      <c r="E434" s="4">
        <v>228</v>
      </c>
      <c r="F434" s="4">
        <f>ROUND(Source!AY426,O434)</f>
        <v>0</v>
      </c>
      <c r="G434" s="4" t="s">
        <v>83</v>
      </c>
      <c r="H434" s="4" t="s">
        <v>84</v>
      </c>
      <c r="I434" s="4"/>
      <c r="J434" s="4"/>
      <c r="K434" s="4">
        <v>228</v>
      </c>
      <c r="L434" s="4">
        <v>7</v>
      </c>
      <c r="M434" s="4">
        <v>3</v>
      </c>
      <c r="N434" s="4" t="s">
        <v>3</v>
      </c>
      <c r="O434" s="4">
        <v>2</v>
      </c>
      <c r="P434" s="4"/>
      <c r="Q434" s="4"/>
      <c r="R434" s="4"/>
      <c r="S434" s="4"/>
      <c r="T434" s="4"/>
      <c r="U434" s="4"/>
      <c r="V434" s="4"/>
      <c r="W434" s="4"/>
    </row>
    <row r="435" spans="1:23" x14ac:dyDescent="0.2">
      <c r="A435" s="4">
        <v>50</v>
      </c>
      <c r="B435" s="4">
        <v>0</v>
      </c>
      <c r="C435" s="4">
        <v>0</v>
      </c>
      <c r="D435" s="4">
        <v>1</v>
      </c>
      <c r="E435" s="4">
        <v>216</v>
      </c>
      <c r="F435" s="4">
        <f>ROUND(Source!AP426,O435)</f>
        <v>0</v>
      </c>
      <c r="G435" s="4" t="s">
        <v>85</v>
      </c>
      <c r="H435" s="4" t="s">
        <v>86</v>
      </c>
      <c r="I435" s="4"/>
      <c r="J435" s="4"/>
      <c r="K435" s="4">
        <v>216</v>
      </c>
      <c r="L435" s="4">
        <v>8</v>
      </c>
      <c r="M435" s="4">
        <v>3</v>
      </c>
      <c r="N435" s="4" t="s">
        <v>3</v>
      </c>
      <c r="O435" s="4">
        <v>2</v>
      </c>
      <c r="P435" s="4"/>
      <c r="Q435" s="4"/>
      <c r="R435" s="4"/>
      <c r="S435" s="4"/>
      <c r="T435" s="4"/>
      <c r="U435" s="4"/>
      <c r="V435" s="4"/>
      <c r="W435" s="4"/>
    </row>
    <row r="436" spans="1:23" x14ac:dyDescent="0.2">
      <c r="A436" s="4">
        <v>50</v>
      </c>
      <c r="B436" s="4">
        <v>0</v>
      </c>
      <c r="C436" s="4">
        <v>0</v>
      </c>
      <c r="D436" s="4">
        <v>1</v>
      </c>
      <c r="E436" s="4">
        <v>223</v>
      </c>
      <c r="F436" s="4">
        <f>ROUND(Source!AQ426,O436)</f>
        <v>0</v>
      </c>
      <c r="G436" s="4" t="s">
        <v>87</v>
      </c>
      <c r="H436" s="4" t="s">
        <v>88</v>
      </c>
      <c r="I436" s="4"/>
      <c r="J436" s="4"/>
      <c r="K436" s="4">
        <v>223</v>
      </c>
      <c r="L436" s="4">
        <v>9</v>
      </c>
      <c r="M436" s="4">
        <v>3</v>
      </c>
      <c r="N436" s="4" t="s">
        <v>3</v>
      </c>
      <c r="O436" s="4">
        <v>2</v>
      </c>
      <c r="P436" s="4"/>
      <c r="Q436" s="4"/>
      <c r="R436" s="4"/>
      <c r="S436" s="4"/>
      <c r="T436" s="4"/>
      <c r="U436" s="4"/>
      <c r="V436" s="4"/>
      <c r="W436" s="4"/>
    </row>
    <row r="437" spans="1:23" x14ac:dyDescent="0.2">
      <c r="A437" s="4">
        <v>50</v>
      </c>
      <c r="B437" s="4">
        <v>0</v>
      </c>
      <c r="C437" s="4">
        <v>0</v>
      </c>
      <c r="D437" s="4">
        <v>1</v>
      </c>
      <c r="E437" s="4">
        <v>229</v>
      </c>
      <c r="F437" s="4">
        <f>ROUND(Source!AZ426,O437)</f>
        <v>0</v>
      </c>
      <c r="G437" s="4" t="s">
        <v>89</v>
      </c>
      <c r="H437" s="4" t="s">
        <v>90</v>
      </c>
      <c r="I437" s="4"/>
      <c r="J437" s="4"/>
      <c r="K437" s="4">
        <v>229</v>
      </c>
      <c r="L437" s="4">
        <v>10</v>
      </c>
      <c r="M437" s="4">
        <v>3</v>
      </c>
      <c r="N437" s="4" t="s">
        <v>3</v>
      </c>
      <c r="O437" s="4">
        <v>2</v>
      </c>
      <c r="P437" s="4"/>
      <c r="Q437" s="4"/>
      <c r="R437" s="4"/>
      <c r="S437" s="4"/>
      <c r="T437" s="4"/>
      <c r="U437" s="4"/>
      <c r="V437" s="4"/>
      <c r="W437" s="4"/>
    </row>
    <row r="438" spans="1:23" x14ac:dyDescent="0.2">
      <c r="A438" s="4">
        <v>50</v>
      </c>
      <c r="B438" s="4">
        <v>0</v>
      </c>
      <c r="C438" s="4">
        <v>0</v>
      </c>
      <c r="D438" s="4">
        <v>1</v>
      </c>
      <c r="E438" s="4">
        <v>203</v>
      </c>
      <c r="F438" s="4">
        <f>ROUND(Source!Q426,O438)</f>
        <v>765.18</v>
      </c>
      <c r="G438" s="4" t="s">
        <v>91</v>
      </c>
      <c r="H438" s="4" t="s">
        <v>92</v>
      </c>
      <c r="I438" s="4"/>
      <c r="J438" s="4"/>
      <c r="K438" s="4">
        <v>203</v>
      </c>
      <c r="L438" s="4">
        <v>11</v>
      </c>
      <c r="M438" s="4">
        <v>3</v>
      </c>
      <c r="N438" s="4" t="s">
        <v>3</v>
      </c>
      <c r="O438" s="4">
        <v>2</v>
      </c>
      <c r="P438" s="4"/>
      <c r="Q438" s="4"/>
      <c r="R438" s="4"/>
      <c r="S438" s="4"/>
      <c r="T438" s="4"/>
      <c r="U438" s="4"/>
      <c r="V438" s="4"/>
      <c r="W438" s="4"/>
    </row>
    <row r="439" spans="1:23" x14ac:dyDescent="0.2">
      <c r="A439" s="4">
        <v>50</v>
      </c>
      <c r="B439" s="4">
        <v>0</v>
      </c>
      <c r="C439" s="4">
        <v>0</v>
      </c>
      <c r="D439" s="4">
        <v>1</v>
      </c>
      <c r="E439" s="4">
        <v>231</v>
      </c>
      <c r="F439" s="4">
        <f>ROUND(Source!BB426,O439)</f>
        <v>0</v>
      </c>
      <c r="G439" s="4" t="s">
        <v>93</v>
      </c>
      <c r="H439" s="4" t="s">
        <v>94</v>
      </c>
      <c r="I439" s="4"/>
      <c r="J439" s="4"/>
      <c r="K439" s="4">
        <v>231</v>
      </c>
      <c r="L439" s="4">
        <v>12</v>
      </c>
      <c r="M439" s="4">
        <v>3</v>
      </c>
      <c r="N439" s="4" t="s">
        <v>3</v>
      </c>
      <c r="O439" s="4">
        <v>2</v>
      </c>
      <c r="P439" s="4"/>
      <c r="Q439" s="4"/>
      <c r="R439" s="4"/>
      <c r="S439" s="4"/>
      <c r="T439" s="4"/>
      <c r="U439" s="4"/>
      <c r="V439" s="4"/>
      <c r="W439" s="4"/>
    </row>
    <row r="440" spans="1:23" x14ac:dyDescent="0.2">
      <c r="A440" s="4">
        <v>50</v>
      </c>
      <c r="B440" s="4">
        <v>0</v>
      </c>
      <c r="C440" s="4">
        <v>0</v>
      </c>
      <c r="D440" s="4">
        <v>1</v>
      </c>
      <c r="E440" s="4">
        <v>204</v>
      </c>
      <c r="F440" s="4">
        <f>ROUND(Source!R426,O440)</f>
        <v>14.38</v>
      </c>
      <c r="G440" s="4" t="s">
        <v>95</v>
      </c>
      <c r="H440" s="4" t="s">
        <v>96</v>
      </c>
      <c r="I440" s="4"/>
      <c r="J440" s="4"/>
      <c r="K440" s="4">
        <v>204</v>
      </c>
      <c r="L440" s="4">
        <v>13</v>
      </c>
      <c r="M440" s="4">
        <v>3</v>
      </c>
      <c r="N440" s="4" t="s">
        <v>3</v>
      </c>
      <c r="O440" s="4">
        <v>2</v>
      </c>
      <c r="P440" s="4"/>
      <c r="Q440" s="4"/>
      <c r="R440" s="4"/>
      <c r="S440" s="4"/>
      <c r="T440" s="4"/>
      <c r="U440" s="4"/>
      <c r="V440" s="4"/>
      <c r="W440" s="4"/>
    </row>
    <row r="441" spans="1:23" x14ac:dyDescent="0.2">
      <c r="A441" s="4">
        <v>50</v>
      </c>
      <c r="B441" s="4">
        <v>0</v>
      </c>
      <c r="C441" s="4">
        <v>0</v>
      </c>
      <c r="D441" s="4">
        <v>1</v>
      </c>
      <c r="E441" s="4">
        <v>205</v>
      </c>
      <c r="F441" s="4">
        <f>ROUND(Source!S426,O441)</f>
        <v>59476.09</v>
      </c>
      <c r="G441" s="4" t="s">
        <v>97</v>
      </c>
      <c r="H441" s="4" t="s">
        <v>98</v>
      </c>
      <c r="I441" s="4"/>
      <c r="J441" s="4"/>
      <c r="K441" s="4">
        <v>205</v>
      </c>
      <c r="L441" s="4">
        <v>14</v>
      </c>
      <c r="M441" s="4">
        <v>3</v>
      </c>
      <c r="N441" s="4" t="s">
        <v>3</v>
      </c>
      <c r="O441" s="4">
        <v>2</v>
      </c>
      <c r="P441" s="4"/>
      <c r="Q441" s="4"/>
      <c r="R441" s="4"/>
      <c r="S441" s="4"/>
      <c r="T441" s="4"/>
      <c r="U441" s="4"/>
      <c r="V441" s="4"/>
      <c r="W441" s="4"/>
    </row>
    <row r="442" spans="1:23" x14ac:dyDescent="0.2">
      <c r="A442" s="4">
        <v>50</v>
      </c>
      <c r="B442" s="4">
        <v>0</v>
      </c>
      <c r="C442" s="4">
        <v>0</v>
      </c>
      <c r="D442" s="4">
        <v>1</v>
      </c>
      <c r="E442" s="4">
        <v>232</v>
      </c>
      <c r="F442" s="4">
        <f>ROUND(Source!BC426,O442)</f>
        <v>0</v>
      </c>
      <c r="G442" s="4" t="s">
        <v>99</v>
      </c>
      <c r="H442" s="4" t="s">
        <v>100</v>
      </c>
      <c r="I442" s="4"/>
      <c r="J442" s="4"/>
      <c r="K442" s="4">
        <v>232</v>
      </c>
      <c r="L442" s="4">
        <v>15</v>
      </c>
      <c r="M442" s="4">
        <v>3</v>
      </c>
      <c r="N442" s="4" t="s">
        <v>3</v>
      </c>
      <c r="O442" s="4">
        <v>2</v>
      </c>
      <c r="P442" s="4"/>
      <c r="Q442" s="4"/>
      <c r="R442" s="4"/>
      <c r="S442" s="4"/>
      <c r="T442" s="4"/>
      <c r="U442" s="4"/>
      <c r="V442" s="4"/>
      <c r="W442" s="4"/>
    </row>
    <row r="443" spans="1:23" x14ac:dyDescent="0.2">
      <c r="A443" s="4">
        <v>50</v>
      </c>
      <c r="B443" s="4">
        <v>0</v>
      </c>
      <c r="C443" s="4">
        <v>0</v>
      </c>
      <c r="D443" s="4">
        <v>1</v>
      </c>
      <c r="E443" s="4">
        <v>214</v>
      </c>
      <c r="F443" s="4">
        <f>ROUND(Source!AS426,O443)</f>
        <v>0</v>
      </c>
      <c r="G443" s="4" t="s">
        <v>101</v>
      </c>
      <c r="H443" s="4" t="s">
        <v>102</v>
      </c>
      <c r="I443" s="4"/>
      <c r="J443" s="4"/>
      <c r="K443" s="4">
        <v>214</v>
      </c>
      <c r="L443" s="4">
        <v>16</v>
      </c>
      <c r="M443" s="4">
        <v>3</v>
      </c>
      <c r="N443" s="4" t="s">
        <v>3</v>
      </c>
      <c r="O443" s="4">
        <v>2</v>
      </c>
      <c r="P443" s="4"/>
      <c r="Q443" s="4"/>
      <c r="R443" s="4"/>
      <c r="S443" s="4"/>
      <c r="T443" s="4"/>
      <c r="U443" s="4"/>
      <c r="V443" s="4"/>
      <c r="W443" s="4"/>
    </row>
    <row r="444" spans="1:23" x14ac:dyDescent="0.2">
      <c r="A444" s="4">
        <v>50</v>
      </c>
      <c r="B444" s="4">
        <v>0</v>
      </c>
      <c r="C444" s="4">
        <v>0</v>
      </c>
      <c r="D444" s="4">
        <v>1</v>
      </c>
      <c r="E444" s="4">
        <v>215</v>
      </c>
      <c r="F444" s="4">
        <f>ROUND(Source!AT426,O444)</f>
        <v>0</v>
      </c>
      <c r="G444" s="4" t="s">
        <v>103</v>
      </c>
      <c r="H444" s="4" t="s">
        <v>104</v>
      </c>
      <c r="I444" s="4"/>
      <c r="J444" s="4"/>
      <c r="K444" s="4">
        <v>215</v>
      </c>
      <c r="L444" s="4">
        <v>17</v>
      </c>
      <c r="M444" s="4">
        <v>3</v>
      </c>
      <c r="N444" s="4" t="s">
        <v>3</v>
      </c>
      <c r="O444" s="4">
        <v>2</v>
      </c>
      <c r="P444" s="4"/>
      <c r="Q444" s="4"/>
      <c r="R444" s="4"/>
      <c r="S444" s="4"/>
      <c r="T444" s="4"/>
      <c r="U444" s="4"/>
      <c r="V444" s="4"/>
      <c r="W444" s="4"/>
    </row>
    <row r="445" spans="1:23" x14ac:dyDescent="0.2">
      <c r="A445" s="4">
        <v>50</v>
      </c>
      <c r="B445" s="4">
        <v>0</v>
      </c>
      <c r="C445" s="4">
        <v>0</v>
      </c>
      <c r="D445" s="4">
        <v>1</v>
      </c>
      <c r="E445" s="4">
        <v>217</v>
      </c>
      <c r="F445" s="4">
        <f>ROUND(Source!AU426,O445)</f>
        <v>107837.67</v>
      </c>
      <c r="G445" s="4" t="s">
        <v>105</v>
      </c>
      <c r="H445" s="4" t="s">
        <v>106</v>
      </c>
      <c r="I445" s="4"/>
      <c r="J445" s="4"/>
      <c r="K445" s="4">
        <v>217</v>
      </c>
      <c r="L445" s="4">
        <v>18</v>
      </c>
      <c r="M445" s="4">
        <v>3</v>
      </c>
      <c r="N445" s="4" t="s">
        <v>3</v>
      </c>
      <c r="O445" s="4">
        <v>2</v>
      </c>
      <c r="P445" s="4"/>
      <c r="Q445" s="4"/>
      <c r="R445" s="4"/>
      <c r="S445" s="4"/>
      <c r="T445" s="4"/>
      <c r="U445" s="4"/>
      <c r="V445" s="4"/>
      <c r="W445" s="4"/>
    </row>
    <row r="446" spans="1:23" x14ac:dyDescent="0.2">
      <c r="A446" s="4">
        <v>50</v>
      </c>
      <c r="B446" s="4">
        <v>0</v>
      </c>
      <c r="C446" s="4">
        <v>0</v>
      </c>
      <c r="D446" s="4">
        <v>1</v>
      </c>
      <c r="E446" s="4">
        <v>230</v>
      </c>
      <c r="F446" s="4">
        <f>ROUND(Source!BA426,O446)</f>
        <v>0</v>
      </c>
      <c r="G446" s="4" t="s">
        <v>107</v>
      </c>
      <c r="H446" s="4" t="s">
        <v>108</v>
      </c>
      <c r="I446" s="4"/>
      <c r="J446" s="4"/>
      <c r="K446" s="4">
        <v>230</v>
      </c>
      <c r="L446" s="4">
        <v>19</v>
      </c>
      <c r="M446" s="4">
        <v>3</v>
      </c>
      <c r="N446" s="4" t="s">
        <v>3</v>
      </c>
      <c r="O446" s="4">
        <v>2</v>
      </c>
      <c r="P446" s="4"/>
      <c r="Q446" s="4"/>
      <c r="R446" s="4"/>
      <c r="S446" s="4"/>
      <c r="T446" s="4"/>
      <c r="U446" s="4"/>
      <c r="V446" s="4"/>
      <c r="W446" s="4"/>
    </row>
    <row r="447" spans="1:23" x14ac:dyDescent="0.2">
      <c r="A447" s="4">
        <v>50</v>
      </c>
      <c r="B447" s="4">
        <v>0</v>
      </c>
      <c r="C447" s="4">
        <v>0</v>
      </c>
      <c r="D447" s="4">
        <v>1</v>
      </c>
      <c r="E447" s="4">
        <v>206</v>
      </c>
      <c r="F447" s="4">
        <f>ROUND(Source!T426,O447)</f>
        <v>0</v>
      </c>
      <c r="G447" s="4" t="s">
        <v>109</v>
      </c>
      <c r="H447" s="4" t="s">
        <v>110</v>
      </c>
      <c r="I447" s="4"/>
      <c r="J447" s="4"/>
      <c r="K447" s="4">
        <v>206</v>
      </c>
      <c r="L447" s="4">
        <v>20</v>
      </c>
      <c r="M447" s="4">
        <v>3</v>
      </c>
      <c r="N447" s="4" t="s">
        <v>3</v>
      </c>
      <c r="O447" s="4">
        <v>2</v>
      </c>
      <c r="P447" s="4"/>
      <c r="Q447" s="4"/>
      <c r="R447" s="4"/>
      <c r="S447" s="4"/>
      <c r="T447" s="4"/>
      <c r="U447" s="4"/>
      <c r="V447" s="4"/>
      <c r="W447" s="4"/>
    </row>
    <row r="448" spans="1:23" x14ac:dyDescent="0.2">
      <c r="A448" s="4">
        <v>50</v>
      </c>
      <c r="B448" s="4">
        <v>0</v>
      </c>
      <c r="C448" s="4">
        <v>0</v>
      </c>
      <c r="D448" s="4">
        <v>1</v>
      </c>
      <c r="E448" s="4">
        <v>207</v>
      </c>
      <c r="F448" s="4">
        <f>Source!U426</f>
        <v>321.45760000000001</v>
      </c>
      <c r="G448" s="4" t="s">
        <v>111</v>
      </c>
      <c r="H448" s="4" t="s">
        <v>112</v>
      </c>
      <c r="I448" s="4"/>
      <c r="J448" s="4"/>
      <c r="K448" s="4">
        <v>207</v>
      </c>
      <c r="L448" s="4">
        <v>21</v>
      </c>
      <c r="M448" s="4">
        <v>3</v>
      </c>
      <c r="N448" s="4" t="s">
        <v>3</v>
      </c>
      <c r="O448" s="4">
        <v>-1</v>
      </c>
      <c r="P448" s="4"/>
      <c r="Q448" s="4"/>
      <c r="R448" s="4"/>
      <c r="S448" s="4"/>
      <c r="T448" s="4"/>
      <c r="U448" s="4"/>
      <c r="V448" s="4"/>
      <c r="W448" s="4"/>
    </row>
    <row r="449" spans="1:206" x14ac:dyDescent="0.2">
      <c r="A449" s="4">
        <v>50</v>
      </c>
      <c r="B449" s="4">
        <v>0</v>
      </c>
      <c r="C449" s="4">
        <v>0</v>
      </c>
      <c r="D449" s="4">
        <v>1</v>
      </c>
      <c r="E449" s="4">
        <v>208</v>
      </c>
      <c r="F449" s="4">
        <f>Source!V426</f>
        <v>0</v>
      </c>
      <c r="G449" s="4" t="s">
        <v>113</v>
      </c>
      <c r="H449" s="4" t="s">
        <v>114</v>
      </c>
      <c r="I449" s="4"/>
      <c r="J449" s="4"/>
      <c r="K449" s="4">
        <v>208</v>
      </c>
      <c r="L449" s="4">
        <v>22</v>
      </c>
      <c r="M449" s="4">
        <v>3</v>
      </c>
      <c r="N449" s="4" t="s">
        <v>3</v>
      </c>
      <c r="O449" s="4">
        <v>-1</v>
      </c>
      <c r="P449" s="4"/>
      <c r="Q449" s="4"/>
      <c r="R449" s="4"/>
      <c r="S449" s="4"/>
      <c r="T449" s="4"/>
      <c r="U449" s="4"/>
      <c r="V449" s="4"/>
      <c r="W449" s="4"/>
    </row>
    <row r="450" spans="1:206" x14ac:dyDescent="0.2">
      <c r="A450" s="4">
        <v>50</v>
      </c>
      <c r="B450" s="4">
        <v>0</v>
      </c>
      <c r="C450" s="4">
        <v>0</v>
      </c>
      <c r="D450" s="4">
        <v>1</v>
      </c>
      <c r="E450" s="4">
        <v>209</v>
      </c>
      <c r="F450" s="4">
        <f>ROUND(Source!W426,O450)</f>
        <v>0</v>
      </c>
      <c r="G450" s="4" t="s">
        <v>115</v>
      </c>
      <c r="H450" s="4" t="s">
        <v>116</v>
      </c>
      <c r="I450" s="4"/>
      <c r="J450" s="4"/>
      <c r="K450" s="4">
        <v>209</v>
      </c>
      <c r="L450" s="4">
        <v>23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1" spans="1:206" x14ac:dyDescent="0.2">
      <c r="A451" s="4">
        <v>50</v>
      </c>
      <c r="B451" s="4">
        <v>0</v>
      </c>
      <c r="C451" s="4">
        <v>0</v>
      </c>
      <c r="D451" s="4">
        <v>1</v>
      </c>
      <c r="E451" s="4">
        <v>210</v>
      </c>
      <c r="F451" s="4">
        <f>ROUND(Source!X426,O451)</f>
        <v>41633.26</v>
      </c>
      <c r="G451" s="4" t="s">
        <v>117</v>
      </c>
      <c r="H451" s="4" t="s">
        <v>118</v>
      </c>
      <c r="I451" s="4"/>
      <c r="J451" s="4"/>
      <c r="K451" s="4">
        <v>210</v>
      </c>
      <c r="L451" s="4">
        <v>24</v>
      </c>
      <c r="M451" s="4">
        <v>3</v>
      </c>
      <c r="N451" s="4" t="s">
        <v>3</v>
      </c>
      <c r="O451" s="4">
        <v>2</v>
      </c>
      <c r="P451" s="4"/>
      <c r="Q451" s="4"/>
      <c r="R451" s="4"/>
      <c r="S451" s="4"/>
      <c r="T451" s="4"/>
      <c r="U451" s="4"/>
      <c r="V451" s="4"/>
      <c r="W451" s="4"/>
    </row>
    <row r="452" spans="1:206" x14ac:dyDescent="0.2">
      <c r="A452" s="4">
        <v>50</v>
      </c>
      <c r="B452" s="4">
        <v>0</v>
      </c>
      <c r="C452" s="4">
        <v>0</v>
      </c>
      <c r="D452" s="4">
        <v>1</v>
      </c>
      <c r="E452" s="4">
        <v>211</v>
      </c>
      <c r="F452" s="4">
        <f>ROUND(Source!Y426,O452)</f>
        <v>5947.61</v>
      </c>
      <c r="G452" s="4" t="s">
        <v>119</v>
      </c>
      <c r="H452" s="4" t="s">
        <v>120</v>
      </c>
      <c r="I452" s="4"/>
      <c r="J452" s="4"/>
      <c r="K452" s="4">
        <v>211</v>
      </c>
      <c r="L452" s="4">
        <v>25</v>
      </c>
      <c r="M452" s="4">
        <v>3</v>
      </c>
      <c r="N452" s="4" t="s">
        <v>3</v>
      </c>
      <c r="O452" s="4">
        <v>2</v>
      </c>
      <c r="P452" s="4"/>
      <c r="Q452" s="4"/>
      <c r="R452" s="4"/>
      <c r="S452" s="4"/>
      <c r="T452" s="4"/>
      <c r="U452" s="4"/>
      <c r="V452" s="4"/>
      <c r="W452" s="4"/>
    </row>
    <row r="453" spans="1:206" x14ac:dyDescent="0.2">
      <c r="A453" s="4">
        <v>50</v>
      </c>
      <c r="B453" s="4">
        <v>0</v>
      </c>
      <c r="C453" s="4">
        <v>0</v>
      </c>
      <c r="D453" s="4">
        <v>1</v>
      </c>
      <c r="E453" s="4">
        <v>224</v>
      </c>
      <c r="F453" s="4">
        <f>ROUND(Source!AR426,O453)</f>
        <v>107837.67</v>
      </c>
      <c r="G453" s="4" t="s">
        <v>121</v>
      </c>
      <c r="H453" s="4" t="s">
        <v>122</v>
      </c>
      <c r="I453" s="4"/>
      <c r="J453" s="4"/>
      <c r="K453" s="4">
        <v>224</v>
      </c>
      <c r="L453" s="4">
        <v>26</v>
      </c>
      <c r="M453" s="4">
        <v>3</v>
      </c>
      <c r="N453" s="4" t="s">
        <v>3</v>
      </c>
      <c r="O453" s="4">
        <v>2</v>
      </c>
      <c r="P453" s="4"/>
      <c r="Q453" s="4"/>
      <c r="R453" s="4"/>
      <c r="S453" s="4"/>
      <c r="T453" s="4"/>
      <c r="U453" s="4"/>
      <c r="V453" s="4"/>
      <c r="W453" s="4"/>
    </row>
    <row r="454" spans="1:206" x14ac:dyDescent="0.2">
      <c r="A454" s="4">
        <v>50</v>
      </c>
      <c r="B454" s="4">
        <v>1</v>
      </c>
      <c r="C454" s="4">
        <v>0</v>
      </c>
      <c r="D454" s="4">
        <v>2</v>
      </c>
      <c r="E454" s="4">
        <v>0</v>
      </c>
      <c r="F454" s="4">
        <f>ROUND(F453,O454)</f>
        <v>107837.67</v>
      </c>
      <c r="G454" s="4" t="s">
        <v>19</v>
      </c>
      <c r="H454" s="4" t="s">
        <v>123</v>
      </c>
      <c r="I454" s="4"/>
      <c r="J454" s="4"/>
      <c r="K454" s="4">
        <v>212</v>
      </c>
      <c r="L454" s="4">
        <v>27</v>
      </c>
      <c r="M454" s="4">
        <v>0</v>
      </c>
      <c r="N454" s="4" t="s">
        <v>3</v>
      </c>
      <c r="O454" s="4">
        <v>2</v>
      </c>
      <c r="P454" s="4"/>
      <c r="Q454" s="4"/>
      <c r="R454" s="4"/>
      <c r="S454" s="4"/>
      <c r="T454" s="4"/>
      <c r="U454" s="4"/>
      <c r="V454" s="4"/>
      <c r="W454" s="4"/>
    </row>
    <row r="455" spans="1:206" x14ac:dyDescent="0.2">
      <c r="A455" s="4">
        <v>50</v>
      </c>
      <c r="B455" s="4">
        <v>1</v>
      </c>
      <c r="C455" s="4">
        <v>0</v>
      </c>
      <c r="D455" s="4">
        <v>2</v>
      </c>
      <c r="E455" s="4">
        <v>0</v>
      </c>
      <c r="F455" s="4">
        <f>ROUND(F454*0.2,O455)</f>
        <v>21567.53</v>
      </c>
      <c r="G455" s="4" t="s">
        <v>27</v>
      </c>
      <c r="H455" s="4" t="s">
        <v>124</v>
      </c>
      <c r="I455" s="4"/>
      <c r="J455" s="4"/>
      <c r="K455" s="4">
        <v>212</v>
      </c>
      <c r="L455" s="4">
        <v>28</v>
      </c>
      <c r="M455" s="4">
        <v>0</v>
      </c>
      <c r="N455" s="4" t="s">
        <v>3</v>
      </c>
      <c r="O455" s="4">
        <v>2</v>
      </c>
      <c r="P455" s="4"/>
      <c r="Q455" s="4"/>
      <c r="R455" s="4"/>
      <c r="S455" s="4"/>
      <c r="T455" s="4"/>
      <c r="U455" s="4"/>
      <c r="V455" s="4"/>
      <c r="W455" s="4"/>
    </row>
    <row r="456" spans="1:206" x14ac:dyDescent="0.2">
      <c r="A456" s="4">
        <v>50</v>
      </c>
      <c r="B456" s="4">
        <v>1</v>
      </c>
      <c r="C456" s="4">
        <v>0</v>
      </c>
      <c r="D456" s="4">
        <v>2</v>
      </c>
      <c r="E456" s="4">
        <v>0</v>
      </c>
      <c r="F456" s="4">
        <f>ROUND(F454+F455,O456)</f>
        <v>129405.2</v>
      </c>
      <c r="G456" s="4" t="s">
        <v>31</v>
      </c>
      <c r="H456" s="4" t="s">
        <v>121</v>
      </c>
      <c r="I456" s="4"/>
      <c r="J456" s="4"/>
      <c r="K456" s="4">
        <v>212</v>
      </c>
      <c r="L456" s="4">
        <v>29</v>
      </c>
      <c r="M456" s="4">
        <v>0</v>
      </c>
      <c r="N456" s="4" t="s">
        <v>3</v>
      </c>
      <c r="O456" s="4">
        <v>2</v>
      </c>
      <c r="P456" s="4"/>
      <c r="Q456" s="4"/>
      <c r="R456" s="4"/>
      <c r="S456" s="4"/>
      <c r="T456" s="4"/>
      <c r="U456" s="4"/>
      <c r="V456" s="4"/>
      <c r="W456" s="4"/>
    </row>
    <row r="458" spans="1:206" x14ac:dyDescent="0.2">
      <c r="A458" s="2">
        <v>51</v>
      </c>
      <c r="B458" s="2">
        <f>B20</f>
        <v>1</v>
      </c>
      <c r="C458" s="2">
        <f>A20</f>
        <v>3</v>
      </c>
      <c r="D458" s="2">
        <f>ROW(A20)</f>
        <v>20</v>
      </c>
      <c r="E458" s="2"/>
      <c r="F458" s="2" t="str">
        <f>IF(F20&lt;&gt;"",F20,"")</f>
        <v>Новая локальная смета</v>
      </c>
      <c r="G458" s="2" t="str">
        <f>IF(G20&lt;&gt;"",G20,"")</f>
        <v>Выполнение работ по благоустройству дворовых территориях Таганского района в 2021 году</v>
      </c>
      <c r="H458" s="2">
        <v>0</v>
      </c>
      <c r="I458" s="2"/>
      <c r="J458" s="2"/>
      <c r="K458" s="2"/>
      <c r="L458" s="2"/>
      <c r="M458" s="2"/>
      <c r="N458" s="2"/>
      <c r="O458" s="2">
        <f>ROUND(O40+O88+O134+O181+O222+O260+O307+O353+O388+O426+AB458,2)</f>
        <v>8281550.2199999997</v>
      </c>
      <c r="P458" s="2">
        <f>ROUND(P40+P88+P134+P181+P222+P260+P307+P353+P388+P426+AC458,2)</f>
        <v>5779276.1699999999</v>
      </c>
      <c r="Q458" s="2">
        <f>ROUND(Q40+Q88+Q134+Q181+Q222+Q260+Q307+Q353+Q388+Q426+AD458,2)</f>
        <v>1936718.59</v>
      </c>
      <c r="R458" s="2">
        <f>ROUND(R40+R88+R134+R181+R222+R260+R307+R353+R388+R426+AE458,2)</f>
        <v>992170.94</v>
      </c>
      <c r="S458" s="2">
        <f>ROUND(S40+S88+S134+S181+S222+S260+S307+S353+S388+S426+AF458,2)</f>
        <v>565555.46</v>
      </c>
      <c r="T458" s="2">
        <f>ROUND(T40+T88+T134+T181+T222+T260+T307+T353+T388+T426+AG458,2)</f>
        <v>0</v>
      </c>
      <c r="U458" s="2">
        <f>U40+U88+U134+U181+U222+U260+U307+U353+U388+U426+AH458</f>
        <v>2822.3932064999999</v>
      </c>
      <c r="V458" s="2">
        <f>V40+V88+V134+V181+V222+V260+V307+V353+V388+V426+AI458</f>
        <v>0</v>
      </c>
      <c r="W458" s="2">
        <f>ROUND(W40+W88+W134+W181+W222+W260+W307+W353+W388+W426+AJ458,2)</f>
        <v>0</v>
      </c>
      <c r="X458" s="2">
        <f>ROUND(X40+X88+X134+X181+X222+X260+X307+X353+X388+X426+AK458,2)</f>
        <v>395888.82</v>
      </c>
      <c r="Y458" s="2">
        <f>ROUND(Y40+Y88+Y134+Y181+Y222+Y260+Y307+Y353+Y388+Y426+AL458,2)</f>
        <v>56555.53</v>
      </c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>
        <f>ROUND(AO40+AO88+AO134+AO181+AO222+AO260+AO307+AO353+AO388+AO426+BX458,2)</f>
        <v>0</v>
      </c>
      <c r="AP458" s="2">
        <f>ROUND(AP40+AP88+AP134+AP181+AP222+AP260+AP307+AP353+AP388+AP426+BY458,2)</f>
        <v>0</v>
      </c>
      <c r="AQ458" s="2">
        <f>ROUND(AQ40+AQ88+AQ134+AQ181+AQ222+AQ260+AQ307+AQ353+AQ388+AQ426+BZ458,2)</f>
        <v>0</v>
      </c>
      <c r="AR458" s="2">
        <f>ROUND(AR40+AR88+AR134+AR181+AR222+AR260+AR307+AR353+AR388+AR426+CA458,2)</f>
        <v>8965434.5099999998</v>
      </c>
      <c r="AS458" s="2">
        <f>ROUND(AS40+AS88+AS134+AS181+AS222+AS260+AS307+AS353+AS388+AS426+CB458,2)</f>
        <v>221215.23</v>
      </c>
      <c r="AT458" s="2">
        <f>ROUND(AT40+AT88+AT134+AT181+AT222+AT260+AT307+AT353+AT388+AT426+CC458,2)</f>
        <v>0</v>
      </c>
      <c r="AU458" s="2">
        <f>ROUND(AU40+AU88+AU134+AU181+AU222+AU260+AU307+AU353+AU388+AU426+CD458,2)</f>
        <v>8744219.2799999993</v>
      </c>
      <c r="AV458" s="2">
        <f>ROUND(AV40+AV88+AV134+AV181+AV222+AV260+AV307+AV353+AV388+AV426+CE458,2)</f>
        <v>5779276.1699999999</v>
      </c>
      <c r="AW458" s="2">
        <f>ROUND(AW40+AW88+AW134+AW181+AW222+AW260+AW307+AW353+AW388+AW426+CF458,2)</f>
        <v>5779276.1699999999</v>
      </c>
      <c r="AX458" s="2">
        <f>ROUND(AX40+AX88+AX134+AX181+AX222+AX260+AX307+AX353+AX388+AX426+CG458,2)</f>
        <v>0</v>
      </c>
      <c r="AY458" s="2">
        <f>ROUND(AY40+AY88+AY134+AY181+AY222+AY260+AY307+AY353+AY388+AY426+CH458,2)</f>
        <v>5779276.1699999999</v>
      </c>
      <c r="AZ458" s="2">
        <f>ROUND(AZ40+AZ88+AZ134+AZ181+AZ222+AZ260+AZ307+AZ353+AZ388+AZ426+CI458,2)</f>
        <v>0</v>
      </c>
      <c r="BA458" s="2">
        <f>ROUND(BA40+BA88+BA134+BA181+BA222+BA260+BA307+BA353+BA388+BA426+CJ458,2)</f>
        <v>0</v>
      </c>
      <c r="BB458" s="2">
        <f>ROUND(BB40+BB88+BB134+BB181+BB222+BB260+BB307+BB353+BB388+BB426+CK458,2)</f>
        <v>0</v>
      </c>
      <c r="BC458" s="2">
        <f>ROUND(BC40+BC88+BC134+BC181+BC222+BC260+BC307+BC353+BC388+BC426+CL458,2)</f>
        <v>0</v>
      </c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>
        <v>0</v>
      </c>
    </row>
    <row r="460" spans="1:206" x14ac:dyDescent="0.2">
      <c r="A460" s="4">
        <v>50</v>
      </c>
      <c r="B460" s="4">
        <v>0</v>
      </c>
      <c r="C460" s="4">
        <v>0</v>
      </c>
      <c r="D460" s="4">
        <v>1</v>
      </c>
      <c r="E460" s="4">
        <v>201</v>
      </c>
      <c r="F460" s="4">
        <f>ROUND(Source!O458,O460)</f>
        <v>8281550.2199999997</v>
      </c>
      <c r="G460" s="4" t="s">
        <v>71</v>
      </c>
      <c r="H460" s="4" t="s">
        <v>72</v>
      </c>
      <c r="I460" s="4"/>
      <c r="J460" s="4"/>
      <c r="K460" s="4">
        <v>201</v>
      </c>
      <c r="L460" s="4">
        <v>1</v>
      </c>
      <c r="M460" s="4">
        <v>3</v>
      </c>
      <c r="N460" s="4" t="s">
        <v>3</v>
      </c>
      <c r="O460" s="4">
        <v>2</v>
      </c>
      <c r="P460" s="4"/>
      <c r="Q460" s="4"/>
      <c r="R460" s="4"/>
      <c r="S460" s="4"/>
      <c r="T460" s="4"/>
      <c r="U460" s="4"/>
      <c r="V460" s="4"/>
      <c r="W460" s="4"/>
    </row>
    <row r="461" spans="1:206" x14ac:dyDescent="0.2">
      <c r="A461" s="4">
        <v>50</v>
      </c>
      <c r="B461" s="4">
        <v>0</v>
      </c>
      <c r="C461" s="4">
        <v>0</v>
      </c>
      <c r="D461" s="4">
        <v>1</v>
      </c>
      <c r="E461" s="4">
        <v>202</v>
      </c>
      <c r="F461" s="4">
        <f>ROUND(Source!P458,O461)</f>
        <v>5779276.1699999999</v>
      </c>
      <c r="G461" s="4" t="s">
        <v>73</v>
      </c>
      <c r="H461" s="4" t="s">
        <v>74</v>
      </c>
      <c r="I461" s="4"/>
      <c r="J461" s="4"/>
      <c r="K461" s="4">
        <v>202</v>
      </c>
      <c r="L461" s="4">
        <v>2</v>
      </c>
      <c r="M461" s="4">
        <v>3</v>
      </c>
      <c r="N461" s="4" t="s">
        <v>3</v>
      </c>
      <c r="O461" s="4">
        <v>2</v>
      </c>
      <c r="P461" s="4"/>
      <c r="Q461" s="4"/>
      <c r="R461" s="4"/>
      <c r="S461" s="4"/>
      <c r="T461" s="4"/>
      <c r="U461" s="4"/>
      <c r="V461" s="4"/>
      <c r="W461" s="4"/>
    </row>
    <row r="462" spans="1:206" x14ac:dyDescent="0.2">
      <c r="A462" s="4">
        <v>50</v>
      </c>
      <c r="B462" s="4">
        <v>0</v>
      </c>
      <c r="C462" s="4">
        <v>0</v>
      </c>
      <c r="D462" s="4">
        <v>1</v>
      </c>
      <c r="E462" s="4">
        <v>222</v>
      </c>
      <c r="F462" s="4">
        <f>ROUND(Source!AO458,O462)</f>
        <v>0</v>
      </c>
      <c r="G462" s="4" t="s">
        <v>75</v>
      </c>
      <c r="H462" s="4" t="s">
        <v>76</v>
      </c>
      <c r="I462" s="4"/>
      <c r="J462" s="4"/>
      <c r="K462" s="4">
        <v>222</v>
      </c>
      <c r="L462" s="4">
        <v>3</v>
      </c>
      <c r="M462" s="4">
        <v>3</v>
      </c>
      <c r="N462" s="4" t="s">
        <v>3</v>
      </c>
      <c r="O462" s="4">
        <v>2</v>
      </c>
      <c r="P462" s="4"/>
      <c r="Q462" s="4"/>
      <c r="R462" s="4"/>
      <c r="S462" s="4"/>
      <c r="T462" s="4"/>
      <c r="U462" s="4"/>
      <c r="V462" s="4"/>
      <c r="W462" s="4"/>
    </row>
    <row r="463" spans="1:206" x14ac:dyDescent="0.2">
      <c r="A463" s="4">
        <v>50</v>
      </c>
      <c r="B463" s="4">
        <v>0</v>
      </c>
      <c r="C463" s="4">
        <v>0</v>
      </c>
      <c r="D463" s="4">
        <v>1</v>
      </c>
      <c r="E463" s="4">
        <v>225</v>
      </c>
      <c r="F463" s="4">
        <f>ROUND(Source!AV458,O463)</f>
        <v>5779276.1699999999</v>
      </c>
      <c r="G463" s="4" t="s">
        <v>77</v>
      </c>
      <c r="H463" s="4" t="s">
        <v>78</v>
      </c>
      <c r="I463" s="4"/>
      <c r="J463" s="4"/>
      <c r="K463" s="4">
        <v>225</v>
      </c>
      <c r="L463" s="4">
        <v>4</v>
      </c>
      <c r="M463" s="4">
        <v>3</v>
      </c>
      <c r="N463" s="4" t="s">
        <v>3</v>
      </c>
      <c r="O463" s="4">
        <v>2</v>
      </c>
      <c r="P463" s="4"/>
      <c r="Q463" s="4"/>
      <c r="R463" s="4"/>
      <c r="S463" s="4"/>
      <c r="T463" s="4"/>
      <c r="U463" s="4"/>
      <c r="V463" s="4"/>
      <c r="W463" s="4"/>
    </row>
    <row r="464" spans="1:206" x14ac:dyDescent="0.2">
      <c r="A464" s="4">
        <v>50</v>
      </c>
      <c r="B464" s="4">
        <v>0</v>
      </c>
      <c r="C464" s="4">
        <v>0</v>
      </c>
      <c r="D464" s="4">
        <v>1</v>
      </c>
      <c r="E464" s="4">
        <v>226</v>
      </c>
      <c r="F464" s="4">
        <f>ROUND(Source!AW458,O464)</f>
        <v>5779276.1699999999</v>
      </c>
      <c r="G464" s="4" t="s">
        <v>79</v>
      </c>
      <c r="H464" s="4" t="s">
        <v>80</v>
      </c>
      <c r="I464" s="4"/>
      <c r="J464" s="4"/>
      <c r="K464" s="4">
        <v>226</v>
      </c>
      <c r="L464" s="4">
        <v>5</v>
      </c>
      <c r="M464" s="4">
        <v>3</v>
      </c>
      <c r="N464" s="4" t="s">
        <v>3</v>
      </c>
      <c r="O464" s="4">
        <v>2</v>
      </c>
      <c r="P464" s="4"/>
      <c r="Q464" s="4"/>
      <c r="R464" s="4"/>
      <c r="S464" s="4"/>
      <c r="T464" s="4"/>
      <c r="U464" s="4"/>
      <c r="V464" s="4"/>
      <c r="W464" s="4"/>
    </row>
    <row r="465" spans="1:23" x14ac:dyDescent="0.2">
      <c r="A465" s="4">
        <v>50</v>
      </c>
      <c r="B465" s="4">
        <v>0</v>
      </c>
      <c r="C465" s="4">
        <v>0</v>
      </c>
      <c r="D465" s="4">
        <v>1</v>
      </c>
      <c r="E465" s="4">
        <v>227</v>
      </c>
      <c r="F465" s="4">
        <f>ROUND(Source!AX458,O465)</f>
        <v>0</v>
      </c>
      <c r="G465" s="4" t="s">
        <v>81</v>
      </c>
      <c r="H465" s="4" t="s">
        <v>82</v>
      </c>
      <c r="I465" s="4"/>
      <c r="J465" s="4"/>
      <c r="K465" s="4">
        <v>227</v>
      </c>
      <c r="L465" s="4">
        <v>6</v>
      </c>
      <c r="M465" s="4">
        <v>3</v>
      </c>
      <c r="N465" s="4" t="s">
        <v>3</v>
      </c>
      <c r="O465" s="4">
        <v>2</v>
      </c>
      <c r="P465" s="4"/>
      <c r="Q465" s="4"/>
      <c r="R465" s="4"/>
      <c r="S465" s="4"/>
      <c r="T465" s="4"/>
      <c r="U465" s="4"/>
      <c r="V465" s="4"/>
      <c r="W465" s="4"/>
    </row>
    <row r="466" spans="1:23" x14ac:dyDescent="0.2">
      <c r="A466" s="4">
        <v>50</v>
      </c>
      <c r="B466" s="4">
        <v>0</v>
      </c>
      <c r="C466" s="4">
        <v>0</v>
      </c>
      <c r="D466" s="4">
        <v>1</v>
      </c>
      <c r="E466" s="4">
        <v>228</v>
      </c>
      <c r="F466" s="4">
        <f>ROUND(Source!AY458,O466)</f>
        <v>5779276.1699999999</v>
      </c>
      <c r="G466" s="4" t="s">
        <v>83</v>
      </c>
      <c r="H466" s="4" t="s">
        <v>84</v>
      </c>
      <c r="I466" s="4"/>
      <c r="J466" s="4"/>
      <c r="K466" s="4">
        <v>228</v>
      </c>
      <c r="L466" s="4">
        <v>7</v>
      </c>
      <c r="M466" s="4">
        <v>3</v>
      </c>
      <c r="N466" s="4" t="s">
        <v>3</v>
      </c>
      <c r="O466" s="4">
        <v>2</v>
      </c>
      <c r="P466" s="4"/>
      <c r="Q466" s="4"/>
      <c r="R466" s="4"/>
      <c r="S466" s="4"/>
      <c r="T466" s="4"/>
      <c r="U466" s="4"/>
      <c r="V466" s="4"/>
      <c r="W466" s="4"/>
    </row>
    <row r="467" spans="1:23" x14ac:dyDescent="0.2">
      <c r="A467" s="4">
        <v>50</v>
      </c>
      <c r="B467" s="4">
        <v>0</v>
      </c>
      <c r="C467" s="4">
        <v>0</v>
      </c>
      <c r="D467" s="4">
        <v>1</v>
      </c>
      <c r="E467" s="4">
        <v>216</v>
      </c>
      <c r="F467" s="4">
        <f>ROUND(Source!AP458,O467)</f>
        <v>0</v>
      </c>
      <c r="G467" s="4" t="s">
        <v>85</v>
      </c>
      <c r="H467" s="4" t="s">
        <v>86</v>
      </c>
      <c r="I467" s="4"/>
      <c r="J467" s="4"/>
      <c r="K467" s="4">
        <v>216</v>
      </c>
      <c r="L467" s="4">
        <v>8</v>
      </c>
      <c r="M467" s="4">
        <v>3</v>
      </c>
      <c r="N467" s="4" t="s">
        <v>3</v>
      </c>
      <c r="O467" s="4">
        <v>2</v>
      </c>
      <c r="P467" s="4"/>
      <c r="Q467" s="4"/>
      <c r="R467" s="4"/>
      <c r="S467" s="4"/>
      <c r="T467" s="4"/>
      <c r="U467" s="4"/>
      <c r="V467" s="4"/>
      <c r="W467" s="4"/>
    </row>
    <row r="468" spans="1:23" x14ac:dyDescent="0.2">
      <c r="A468" s="4">
        <v>50</v>
      </c>
      <c r="B468" s="4">
        <v>0</v>
      </c>
      <c r="C468" s="4">
        <v>0</v>
      </c>
      <c r="D468" s="4">
        <v>1</v>
      </c>
      <c r="E468" s="4">
        <v>223</v>
      </c>
      <c r="F468" s="4">
        <f>ROUND(Source!AQ458,O468)</f>
        <v>0</v>
      </c>
      <c r="G468" s="4" t="s">
        <v>87</v>
      </c>
      <c r="H468" s="4" t="s">
        <v>88</v>
      </c>
      <c r="I468" s="4"/>
      <c r="J468" s="4"/>
      <c r="K468" s="4">
        <v>223</v>
      </c>
      <c r="L468" s="4">
        <v>9</v>
      </c>
      <c r="M468" s="4">
        <v>3</v>
      </c>
      <c r="N468" s="4" t="s">
        <v>3</v>
      </c>
      <c r="O468" s="4">
        <v>2</v>
      </c>
      <c r="P468" s="4"/>
      <c r="Q468" s="4"/>
      <c r="R468" s="4"/>
      <c r="S468" s="4"/>
      <c r="T468" s="4"/>
      <c r="U468" s="4"/>
      <c r="V468" s="4"/>
      <c r="W468" s="4"/>
    </row>
    <row r="469" spans="1:23" x14ac:dyDescent="0.2">
      <c r="A469" s="4">
        <v>50</v>
      </c>
      <c r="B469" s="4">
        <v>0</v>
      </c>
      <c r="C469" s="4">
        <v>0</v>
      </c>
      <c r="D469" s="4">
        <v>1</v>
      </c>
      <c r="E469" s="4">
        <v>229</v>
      </c>
      <c r="F469" s="4">
        <f>ROUND(Source!AZ458,O469)</f>
        <v>0</v>
      </c>
      <c r="G469" s="4" t="s">
        <v>89</v>
      </c>
      <c r="H469" s="4" t="s">
        <v>90</v>
      </c>
      <c r="I469" s="4"/>
      <c r="J469" s="4"/>
      <c r="K469" s="4">
        <v>229</v>
      </c>
      <c r="L469" s="4">
        <v>10</v>
      </c>
      <c r="M469" s="4">
        <v>3</v>
      </c>
      <c r="N469" s="4" t="s">
        <v>3</v>
      </c>
      <c r="O469" s="4">
        <v>2</v>
      </c>
      <c r="P469" s="4"/>
      <c r="Q469" s="4"/>
      <c r="R469" s="4"/>
      <c r="S469" s="4"/>
      <c r="T469" s="4"/>
      <c r="U469" s="4"/>
      <c r="V469" s="4"/>
      <c r="W469" s="4"/>
    </row>
    <row r="470" spans="1:23" x14ac:dyDescent="0.2">
      <c r="A470" s="4">
        <v>50</v>
      </c>
      <c r="B470" s="4">
        <v>0</v>
      </c>
      <c r="C470" s="4">
        <v>0</v>
      </c>
      <c r="D470" s="4">
        <v>1</v>
      </c>
      <c r="E470" s="4">
        <v>203</v>
      </c>
      <c r="F470" s="4">
        <f>ROUND(Source!Q458,O470)</f>
        <v>1936718.59</v>
      </c>
      <c r="G470" s="4" t="s">
        <v>91</v>
      </c>
      <c r="H470" s="4" t="s">
        <v>92</v>
      </c>
      <c r="I470" s="4"/>
      <c r="J470" s="4"/>
      <c r="K470" s="4">
        <v>203</v>
      </c>
      <c r="L470" s="4">
        <v>11</v>
      </c>
      <c r="M470" s="4">
        <v>3</v>
      </c>
      <c r="N470" s="4" t="s">
        <v>3</v>
      </c>
      <c r="O470" s="4">
        <v>2</v>
      </c>
      <c r="P470" s="4"/>
      <c r="Q470" s="4"/>
      <c r="R470" s="4"/>
      <c r="S470" s="4"/>
      <c r="T470" s="4"/>
      <c r="U470" s="4"/>
      <c r="V470" s="4"/>
      <c r="W470" s="4"/>
    </row>
    <row r="471" spans="1:23" x14ac:dyDescent="0.2">
      <c r="A471" s="4">
        <v>50</v>
      </c>
      <c r="B471" s="4">
        <v>0</v>
      </c>
      <c r="C471" s="4">
        <v>0</v>
      </c>
      <c r="D471" s="4">
        <v>1</v>
      </c>
      <c r="E471" s="4">
        <v>231</v>
      </c>
      <c r="F471" s="4">
        <f>ROUND(Source!BB458,O471)</f>
        <v>0</v>
      </c>
      <c r="G471" s="4" t="s">
        <v>93</v>
      </c>
      <c r="H471" s="4" t="s">
        <v>94</v>
      </c>
      <c r="I471" s="4"/>
      <c r="J471" s="4"/>
      <c r="K471" s="4">
        <v>231</v>
      </c>
      <c r="L471" s="4">
        <v>12</v>
      </c>
      <c r="M471" s="4">
        <v>3</v>
      </c>
      <c r="N471" s="4" t="s">
        <v>3</v>
      </c>
      <c r="O471" s="4">
        <v>2</v>
      </c>
      <c r="P471" s="4"/>
      <c r="Q471" s="4"/>
      <c r="R471" s="4"/>
      <c r="S471" s="4"/>
      <c r="T471" s="4"/>
      <c r="U471" s="4"/>
      <c r="V471" s="4"/>
      <c r="W471" s="4"/>
    </row>
    <row r="472" spans="1:23" x14ac:dyDescent="0.2">
      <c r="A472" s="4">
        <v>50</v>
      </c>
      <c r="B472" s="4">
        <v>0</v>
      </c>
      <c r="C472" s="4">
        <v>0</v>
      </c>
      <c r="D472" s="4">
        <v>1</v>
      </c>
      <c r="E472" s="4">
        <v>204</v>
      </c>
      <c r="F472" s="4">
        <f>ROUND(Source!R458,O472)</f>
        <v>992170.94</v>
      </c>
      <c r="G472" s="4" t="s">
        <v>95</v>
      </c>
      <c r="H472" s="4" t="s">
        <v>96</v>
      </c>
      <c r="I472" s="4"/>
      <c r="J472" s="4"/>
      <c r="K472" s="4">
        <v>204</v>
      </c>
      <c r="L472" s="4">
        <v>13</v>
      </c>
      <c r="M472" s="4">
        <v>3</v>
      </c>
      <c r="N472" s="4" t="s">
        <v>3</v>
      </c>
      <c r="O472" s="4">
        <v>2</v>
      </c>
      <c r="P472" s="4"/>
      <c r="Q472" s="4"/>
      <c r="R472" s="4"/>
      <c r="S472" s="4"/>
      <c r="T472" s="4"/>
      <c r="U472" s="4"/>
      <c r="V472" s="4"/>
      <c r="W472" s="4"/>
    </row>
    <row r="473" spans="1:23" x14ac:dyDescent="0.2">
      <c r="A473" s="4">
        <v>50</v>
      </c>
      <c r="B473" s="4">
        <v>0</v>
      </c>
      <c r="C473" s="4">
        <v>0</v>
      </c>
      <c r="D473" s="4">
        <v>1</v>
      </c>
      <c r="E473" s="4">
        <v>205</v>
      </c>
      <c r="F473" s="4">
        <f>ROUND(Source!S458,O473)</f>
        <v>565555.46</v>
      </c>
      <c r="G473" s="4" t="s">
        <v>97</v>
      </c>
      <c r="H473" s="4" t="s">
        <v>98</v>
      </c>
      <c r="I473" s="4"/>
      <c r="J473" s="4"/>
      <c r="K473" s="4">
        <v>205</v>
      </c>
      <c r="L473" s="4">
        <v>14</v>
      </c>
      <c r="M473" s="4">
        <v>3</v>
      </c>
      <c r="N473" s="4" t="s">
        <v>3</v>
      </c>
      <c r="O473" s="4">
        <v>2</v>
      </c>
      <c r="P473" s="4"/>
      <c r="Q473" s="4"/>
      <c r="R473" s="4"/>
      <c r="S473" s="4"/>
      <c r="T473" s="4"/>
      <c r="U473" s="4"/>
      <c r="V473" s="4"/>
      <c r="W473" s="4"/>
    </row>
    <row r="474" spans="1:23" x14ac:dyDescent="0.2">
      <c r="A474" s="4">
        <v>50</v>
      </c>
      <c r="B474" s="4">
        <v>0</v>
      </c>
      <c r="C474" s="4">
        <v>0</v>
      </c>
      <c r="D474" s="4">
        <v>1</v>
      </c>
      <c r="E474" s="4">
        <v>232</v>
      </c>
      <c r="F474" s="4">
        <f>ROUND(Source!BC458,O474)</f>
        <v>0</v>
      </c>
      <c r="G474" s="4" t="s">
        <v>99</v>
      </c>
      <c r="H474" s="4" t="s">
        <v>100</v>
      </c>
      <c r="I474" s="4"/>
      <c r="J474" s="4"/>
      <c r="K474" s="4">
        <v>232</v>
      </c>
      <c r="L474" s="4">
        <v>15</v>
      </c>
      <c r="M474" s="4">
        <v>3</v>
      </c>
      <c r="N474" s="4" t="s">
        <v>3</v>
      </c>
      <c r="O474" s="4">
        <v>2</v>
      </c>
      <c r="P474" s="4"/>
      <c r="Q474" s="4"/>
      <c r="R474" s="4"/>
      <c r="S474" s="4"/>
      <c r="T474" s="4"/>
      <c r="U474" s="4"/>
      <c r="V474" s="4"/>
      <c r="W474" s="4"/>
    </row>
    <row r="475" spans="1:23" x14ac:dyDescent="0.2">
      <c r="A475" s="4">
        <v>50</v>
      </c>
      <c r="B475" s="4">
        <v>0</v>
      </c>
      <c r="C475" s="4">
        <v>0</v>
      </c>
      <c r="D475" s="4">
        <v>1</v>
      </c>
      <c r="E475" s="4">
        <v>214</v>
      </c>
      <c r="F475" s="4">
        <f>ROUND(Source!AS458,O475)</f>
        <v>221215.23</v>
      </c>
      <c r="G475" s="4" t="s">
        <v>101</v>
      </c>
      <c r="H475" s="4" t="s">
        <v>102</v>
      </c>
      <c r="I475" s="4"/>
      <c r="J475" s="4"/>
      <c r="K475" s="4">
        <v>214</v>
      </c>
      <c r="L475" s="4">
        <v>16</v>
      </c>
      <c r="M475" s="4">
        <v>3</v>
      </c>
      <c r="N475" s="4" t="s">
        <v>3</v>
      </c>
      <c r="O475" s="4">
        <v>2</v>
      </c>
      <c r="P475" s="4"/>
      <c r="Q475" s="4"/>
      <c r="R475" s="4"/>
      <c r="S475" s="4"/>
      <c r="T475" s="4"/>
      <c r="U475" s="4"/>
      <c r="V475" s="4"/>
      <c r="W475" s="4"/>
    </row>
    <row r="476" spans="1:23" x14ac:dyDescent="0.2">
      <c r="A476" s="4">
        <v>50</v>
      </c>
      <c r="B476" s="4">
        <v>0</v>
      </c>
      <c r="C476" s="4">
        <v>0</v>
      </c>
      <c r="D476" s="4">
        <v>1</v>
      </c>
      <c r="E476" s="4">
        <v>215</v>
      </c>
      <c r="F476" s="4">
        <f>ROUND(Source!AT458,O476)</f>
        <v>0</v>
      </c>
      <c r="G476" s="4" t="s">
        <v>103</v>
      </c>
      <c r="H476" s="4" t="s">
        <v>104</v>
      </c>
      <c r="I476" s="4"/>
      <c r="J476" s="4"/>
      <c r="K476" s="4">
        <v>215</v>
      </c>
      <c r="L476" s="4">
        <v>17</v>
      </c>
      <c r="M476" s="4">
        <v>3</v>
      </c>
      <c r="N476" s="4" t="s">
        <v>3</v>
      </c>
      <c r="O476" s="4">
        <v>2</v>
      </c>
      <c r="P476" s="4"/>
      <c r="Q476" s="4"/>
      <c r="R476" s="4"/>
      <c r="S476" s="4"/>
      <c r="T476" s="4"/>
      <c r="U476" s="4"/>
      <c r="V476" s="4"/>
      <c r="W476" s="4"/>
    </row>
    <row r="477" spans="1:23" x14ac:dyDescent="0.2">
      <c r="A477" s="4">
        <v>50</v>
      </c>
      <c r="B477" s="4">
        <v>0</v>
      </c>
      <c r="C477" s="4">
        <v>0</v>
      </c>
      <c r="D477" s="4">
        <v>1</v>
      </c>
      <c r="E477" s="4">
        <v>217</v>
      </c>
      <c r="F477" s="4">
        <f>ROUND(Source!AU458,O477)</f>
        <v>8744219.2799999993</v>
      </c>
      <c r="G477" s="4" t="s">
        <v>105</v>
      </c>
      <c r="H477" s="4" t="s">
        <v>106</v>
      </c>
      <c r="I477" s="4"/>
      <c r="J477" s="4"/>
      <c r="K477" s="4">
        <v>217</v>
      </c>
      <c r="L477" s="4">
        <v>18</v>
      </c>
      <c r="M477" s="4">
        <v>3</v>
      </c>
      <c r="N477" s="4" t="s">
        <v>3</v>
      </c>
      <c r="O477" s="4">
        <v>2</v>
      </c>
      <c r="P477" s="4"/>
      <c r="Q477" s="4"/>
      <c r="R477" s="4"/>
      <c r="S477" s="4"/>
      <c r="T477" s="4"/>
      <c r="U477" s="4"/>
      <c r="V477" s="4"/>
      <c r="W477" s="4"/>
    </row>
    <row r="478" spans="1:23" x14ac:dyDescent="0.2">
      <c r="A478" s="4">
        <v>50</v>
      </c>
      <c r="B478" s="4">
        <v>0</v>
      </c>
      <c r="C478" s="4">
        <v>0</v>
      </c>
      <c r="D478" s="4">
        <v>1</v>
      </c>
      <c r="E478" s="4">
        <v>230</v>
      </c>
      <c r="F478" s="4">
        <f>ROUND(Source!BA458,O478)</f>
        <v>0</v>
      </c>
      <c r="G478" s="4" t="s">
        <v>107</v>
      </c>
      <c r="H478" s="4" t="s">
        <v>108</v>
      </c>
      <c r="I478" s="4"/>
      <c r="J478" s="4"/>
      <c r="K478" s="4">
        <v>230</v>
      </c>
      <c r="L478" s="4">
        <v>19</v>
      </c>
      <c r="M478" s="4">
        <v>3</v>
      </c>
      <c r="N478" s="4" t="s">
        <v>3</v>
      </c>
      <c r="O478" s="4">
        <v>2</v>
      </c>
      <c r="P478" s="4"/>
      <c r="Q478" s="4"/>
      <c r="R478" s="4"/>
      <c r="S478" s="4"/>
      <c r="T478" s="4"/>
      <c r="U478" s="4"/>
      <c r="V478" s="4"/>
      <c r="W478" s="4"/>
    </row>
    <row r="479" spans="1:23" x14ac:dyDescent="0.2">
      <c r="A479" s="4">
        <v>50</v>
      </c>
      <c r="B479" s="4">
        <v>0</v>
      </c>
      <c r="C479" s="4">
        <v>0</v>
      </c>
      <c r="D479" s="4">
        <v>1</v>
      </c>
      <c r="E479" s="4">
        <v>206</v>
      </c>
      <c r="F479" s="4">
        <f>ROUND(Source!T458,O479)</f>
        <v>0</v>
      </c>
      <c r="G479" s="4" t="s">
        <v>109</v>
      </c>
      <c r="H479" s="4" t="s">
        <v>110</v>
      </c>
      <c r="I479" s="4"/>
      <c r="J479" s="4"/>
      <c r="K479" s="4">
        <v>206</v>
      </c>
      <c r="L479" s="4">
        <v>20</v>
      </c>
      <c r="M479" s="4">
        <v>3</v>
      </c>
      <c r="N479" s="4" t="s">
        <v>3</v>
      </c>
      <c r="O479" s="4">
        <v>2</v>
      </c>
      <c r="P479" s="4"/>
      <c r="Q479" s="4"/>
      <c r="R479" s="4"/>
      <c r="S479" s="4"/>
      <c r="T479" s="4"/>
      <c r="U479" s="4"/>
      <c r="V479" s="4"/>
      <c r="W479" s="4"/>
    </row>
    <row r="480" spans="1:23" x14ac:dyDescent="0.2">
      <c r="A480" s="4">
        <v>50</v>
      </c>
      <c r="B480" s="4">
        <v>0</v>
      </c>
      <c r="C480" s="4">
        <v>0</v>
      </c>
      <c r="D480" s="4">
        <v>1</v>
      </c>
      <c r="E480" s="4">
        <v>207</v>
      </c>
      <c r="F480" s="4">
        <f>Source!U458</f>
        <v>2822.3932064999999</v>
      </c>
      <c r="G480" s="4" t="s">
        <v>111</v>
      </c>
      <c r="H480" s="4" t="s">
        <v>112</v>
      </c>
      <c r="I480" s="4"/>
      <c r="J480" s="4"/>
      <c r="K480" s="4">
        <v>207</v>
      </c>
      <c r="L480" s="4">
        <v>21</v>
      </c>
      <c r="M480" s="4">
        <v>3</v>
      </c>
      <c r="N480" s="4" t="s">
        <v>3</v>
      </c>
      <c r="O480" s="4">
        <v>-1</v>
      </c>
      <c r="P480" s="4"/>
      <c r="Q480" s="4"/>
      <c r="R480" s="4"/>
      <c r="S480" s="4"/>
      <c r="T480" s="4"/>
      <c r="U480" s="4"/>
      <c r="V480" s="4"/>
      <c r="W480" s="4"/>
    </row>
    <row r="481" spans="1:206" x14ac:dyDescent="0.2">
      <c r="A481" s="4">
        <v>50</v>
      </c>
      <c r="B481" s="4">
        <v>0</v>
      </c>
      <c r="C481" s="4">
        <v>0</v>
      </c>
      <c r="D481" s="4">
        <v>1</v>
      </c>
      <c r="E481" s="4">
        <v>208</v>
      </c>
      <c r="F481" s="4">
        <f>Source!V458</f>
        <v>0</v>
      </c>
      <c r="G481" s="4" t="s">
        <v>113</v>
      </c>
      <c r="H481" s="4" t="s">
        <v>114</v>
      </c>
      <c r="I481" s="4"/>
      <c r="J481" s="4"/>
      <c r="K481" s="4">
        <v>208</v>
      </c>
      <c r="L481" s="4">
        <v>22</v>
      </c>
      <c r="M481" s="4">
        <v>3</v>
      </c>
      <c r="N481" s="4" t="s">
        <v>3</v>
      </c>
      <c r="O481" s="4">
        <v>-1</v>
      </c>
      <c r="P481" s="4"/>
      <c r="Q481" s="4"/>
      <c r="R481" s="4"/>
      <c r="S481" s="4"/>
      <c r="T481" s="4"/>
      <c r="U481" s="4"/>
      <c r="V481" s="4"/>
      <c r="W481" s="4"/>
    </row>
    <row r="482" spans="1:206" x14ac:dyDescent="0.2">
      <c r="A482" s="4">
        <v>50</v>
      </c>
      <c r="B482" s="4">
        <v>0</v>
      </c>
      <c r="C482" s="4">
        <v>0</v>
      </c>
      <c r="D482" s="4">
        <v>1</v>
      </c>
      <c r="E482" s="4">
        <v>209</v>
      </c>
      <c r="F482" s="4">
        <f>ROUND(Source!W458,O482)</f>
        <v>0</v>
      </c>
      <c r="G482" s="4" t="s">
        <v>115</v>
      </c>
      <c r="H482" s="4" t="s">
        <v>116</v>
      </c>
      <c r="I482" s="4"/>
      <c r="J482" s="4"/>
      <c r="K482" s="4">
        <v>209</v>
      </c>
      <c r="L482" s="4">
        <v>23</v>
      </c>
      <c r="M482" s="4">
        <v>3</v>
      </c>
      <c r="N482" s="4" t="s">
        <v>3</v>
      </c>
      <c r="O482" s="4">
        <v>2</v>
      </c>
      <c r="P482" s="4"/>
      <c r="Q482" s="4"/>
      <c r="R482" s="4"/>
      <c r="S482" s="4"/>
      <c r="T482" s="4"/>
      <c r="U482" s="4"/>
      <c r="V482" s="4"/>
      <c r="W482" s="4"/>
    </row>
    <row r="483" spans="1:206" x14ac:dyDescent="0.2">
      <c r="A483" s="4">
        <v>50</v>
      </c>
      <c r="B483" s="4">
        <v>0</v>
      </c>
      <c r="C483" s="4">
        <v>0</v>
      </c>
      <c r="D483" s="4">
        <v>1</v>
      </c>
      <c r="E483" s="4">
        <v>210</v>
      </c>
      <c r="F483" s="4">
        <f>ROUND(Source!X458,O483)</f>
        <v>395888.82</v>
      </c>
      <c r="G483" s="4" t="s">
        <v>117</v>
      </c>
      <c r="H483" s="4" t="s">
        <v>118</v>
      </c>
      <c r="I483" s="4"/>
      <c r="J483" s="4"/>
      <c r="K483" s="4">
        <v>210</v>
      </c>
      <c r="L483" s="4">
        <v>24</v>
      </c>
      <c r="M483" s="4">
        <v>3</v>
      </c>
      <c r="N483" s="4" t="s">
        <v>3</v>
      </c>
      <c r="O483" s="4">
        <v>2</v>
      </c>
      <c r="P483" s="4"/>
      <c r="Q483" s="4"/>
      <c r="R483" s="4"/>
      <c r="S483" s="4"/>
      <c r="T483" s="4"/>
      <c r="U483" s="4"/>
      <c r="V483" s="4"/>
      <c r="W483" s="4"/>
    </row>
    <row r="484" spans="1:206" x14ac:dyDescent="0.2">
      <c r="A484" s="4">
        <v>50</v>
      </c>
      <c r="B484" s="4">
        <v>0</v>
      </c>
      <c r="C484" s="4">
        <v>0</v>
      </c>
      <c r="D484" s="4">
        <v>1</v>
      </c>
      <c r="E484" s="4">
        <v>211</v>
      </c>
      <c r="F484" s="4">
        <f>ROUND(Source!Y458,O484)</f>
        <v>56555.53</v>
      </c>
      <c r="G484" s="4" t="s">
        <v>119</v>
      </c>
      <c r="H484" s="4" t="s">
        <v>120</v>
      </c>
      <c r="I484" s="4"/>
      <c r="J484" s="4"/>
      <c r="K484" s="4">
        <v>211</v>
      </c>
      <c r="L484" s="4">
        <v>25</v>
      </c>
      <c r="M484" s="4">
        <v>3</v>
      </c>
      <c r="N484" s="4" t="s">
        <v>3</v>
      </c>
      <c r="O484" s="4">
        <v>2</v>
      </c>
      <c r="P484" s="4"/>
      <c r="Q484" s="4"/>
      <c r="R484" s="4"/>
      <c r="S484" s="4"/>
      <c r="T484" s="4"/>
      <c r="U484" s="4"/>
      <c r="V484" s="4"/>
      <c r="W484" s="4"/>
    </row>
    <row r="485" spans="1:206" x14ac:dyDescent="0.2">
      <c r="A485" s="4">
        <v>50</v>
      </c>
      <c r="B485" s="4">
        <v>0</v>
      </c>
      <c r="C485" s="4">
        <v>0</v>
      </c>
      <c r="D485" s="4">
        <v>1</v>
      </c>
      <c r="E485" s="4">
        <v>224</v>
      </c>
      <c r="F485" s="4">
        <f>ROUND(Source!AR458,O485)</f>
        <v>8965434.5099999998</v>
      </c>
      <c r="G485" s="4" t="s">
        <v>121</v>
      </c>
      <c r="H485" s="4" t="s">
        <v>122</v>
      </c>
      <c r="I485" s="4"/>
      <c r="J485" s="4"/>
      <c r="K485" s="4">
        <v>224</v>
      </c>
      <c r="L485" s="4">
        <v>26</v>
      </c>
      <c r="M485" s="4">
        <v>3</v>
      </c>
      <c r="N485" s="4" t="s">
        <v>3</v>
      </c>
      <c r="O485" s="4">
        <v>2</v>
      </c>
      <c r="P485" s="4"/>
      <c r="Q485" s="4"/>
      <c r="R485" s="4"/>
      <c r="S485" s="4"/>
      <c r="T485" s="4"/>
      <c r="U485" s="4"/>
      <c r="V485" s="4"/>
      <c r="W485" s="4"/>
    </row>
    <row r="487" spans="1:206" x14ac:dyDescent="0.2">
      <c r="A487" s="2">
        <v>51</v>
      </c>
      <c r="B487" s="2">
        <f>B12</f>
        <v>522</v>
      </c>
      <c r="C487" s="2">
        <f>A12</f>
        <v>1</v>
      </c>
      <c r="D487" s="2">
        <f>ROW(A12)</f>
        <v>12</v>
      </c>
      <c r="E487" s="2"/>
      <c r="F487" s="2">
        <f>IF(F12&lt;&gt;"",F12,"")</f>
        <v>1</v>
      </c>
      <c r="G487" s="2" t="str">
        <f>IF(G12&lt;&gt;"",G12,"")</f>
        <v>Благоустройство дворовых территорий Таганского района ЦАО г. Москвы в 2021 году (1-й этап)</v>
      </c>
      <c r="H487" s="2">
        <v>0</v>
      </c>
      <c r="I487" s="2"/>
      <c r="J487" s="2"/>
      <c r="K487" s="2"/>
      <c r="L487" s="2"/>
      <c r="M487" s="2"/>
      <c r="N487" s="2"/>
      <c r="O487" s="2">
        <f t="shared" ref="O487:T487" si="324">ROUND(O458,2)</f>
        <v>8281550.2199999997</v>
      </c>
      <c r="P487" s="2">
        <f t="shared" si="324"/>
        <v>5779276.1699999999</v>
      </c>
      <c r="Q487" s="2">
        <f t="shared" si="324"/>
        <v>1936718.59</v>
      </c>
      <c r="R487" s="2">
        <f t="shared" si="324"/>
        <v>992170.94</v>
      </c>
      <c r="S487" s="2">
        <f t="shared" si="324"/>
        <v>565555.46</v>
      </c>
      <c r="T487" s="2">
        <f t="shared" si="324"/>
        <v>0</v>
      </c>
      <c r="U487" s="2">
        <f>U458</f>
        <v>2822.3932064999999</v>
      </c>
      <c r="V487" s="2">
        <f>V458</f>
        <v>0</v>
      </c>
      <c r="W487" s="2">
        <f>ROUND(W458,2)</f>
        <v>0</v>
      </c>
      <c r="X487" s="2">
        <f>ROUND(X458,2)</f>
        <v>395888.82</v>
      </c>
      <c r="Y487" s="2">
        <f>ROUND(Y458,2)</f>
        <v>56555.53</v>
      </c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>
        <f t="shared" ref="AO487:BC487" si="325">ROUND(AO458,2)</f>
        <v>0</v>
      </c>
      <c r="AP487" s="2">
        <f t="shared" si="325"/>
        <v>0</v>
      </c>
      <c r="AQ487" s="2">
        <f t="shared" si="325"/>
        <v>0</v>
      </c>
      <c r="AR487" s="2">
        <f t="shared" si="325"/>
        <v>8965434.5099999998</v>
      </c>
      <c r="AS487" s="2">
        <f t="shared" si="325"/>
        <v>221215.23</v>
      </c>
      <c r="AT487" s="2">
        <f t="shared" si="325"/>
        <v>0</v>
      </c>
      <c r="AU487" s="2">
        <f t="shared" si="325"/>
        <v>8744219.2799999993</v>
      </c>
      <c r="AV487" s="2">
        <f t="shared" si="325"/>
        <v>5779276.1699999999</v>
      </c>
      <c r="AW487" s="2">
        <f t="shared" si="325"/>
        <v>5779276.1699999999</v>
      </c>
      <c r="AX487" s="2">
        <f t="shared" si="325"/>
        <v>0</v>
      </c>
      <c r="AY487" s="2">
        <f t="shared" si="325"/>
        <v>5779276.1699999999</v>
      </c>
      <c r="AZ487" s="2">
        <f t="shared" si="325"/>
        <v>0</v>
      </c>
      <c r="BA487" s="2">
        <f t="shared" si="325"/>
        <v>0</v>
      </c>
      <c r="BB487" s="2">
        <f t="shared" si="325"/>
        <v>0</v>
      </c>
      <c r="BC487" s="2">
        <f t="shared" si="325"/>
        <v>0</v>
      </c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>
        <v>0</v>
      </c>
    </row>
    <row r="489" spans="1:206" x14ac:dyDescent="0.2">
      <c r="A489" s="4">
        <v>50</v>
      </c>
      <c r="B489" s="4">
        <v>0</v>
      </c>
      <c r="C489" s="4">
        <v>0</v>
      </c>
      <c r="D489" s="4">
        <v>1</v>
      </c>
      <c r="E489" s="4">
        <v>201</v>
      </c>
      <c r="F489" s="4">
        <f>ROUND(Source!O487,O489)</f>
        <v>8281550.2199999997</v>
      </c>
      <c r="G489" s="4" t="s">
        <v>71</v>
      </c>
      <c r="H489" s="4" t="s">
        <v>72</v>
      </c>
      <c r="I489" s="4"/>
      <c r="J489" s="4"/>
      <c r="K489" s="4">
        <v>201</v>
      </c>
      <c r="L489" s="4">
        <v>1</v>
      </c>
      <c r="M489" s="4">
        <v>3</v>
      </c>
      <c r="N489" s="4" t="s">
        <v>3</v>
      </c>
      <c r="O489" s="4">
        <v>2</v>
      </c>
      <c r="P489" s="4"/>
      <c r="Q489" s="4"/>
      <c r="R489" s="4"/>
      <c r="S489" s="4"/>
      <c r="T489" s="4"/>
      <c r="U489" s="4"/>
      <c r="V489" s="4"/>
      <c r="W489" s="4"/>
    </row>
    <row r="490" spans="1:206" x14ac:dyDescent="0.2">
      <c r="A490" s="4">
        <v>50</v>
      </c>
      <c r="B490" s="4">
        <v>0</v>
      </c>
      <c r="C490" s="4">
        <v>0</v>
      </c>
      <c r="D490" s="4">
        <v>1</v>
      </c>
      <c r="E490" s="4">
        <v>202</v>
      </c>
      <c r="F490" s="4">
        <f>ROUND(Source!P487,O490)</f>
        <v>5779276.1699999999</v>
      </c>
      <c r="G490" s="4" t="s">
        <v>73</v>
      </c>
      <c r="H490" s="4" t="s">
        <v>74</v>
      </c>
      <c r="I490" s="4"/>
      <c r="J490" s="4"/>
      <c r="K490" s="4">
        <v>202</v>
      </c>
      <c r="L490" s="4">
        <v>2</v>
      </c>
      <c r="M490" s="4">
        <v>3</v>
      </c>
      <c r="N490" s="4" t="s">
        <v>3</v>
      </c>
      <c r="O490" s="4">
        <v>2</v>
      </c>
      <c r="P490" s="4"/>
      <c r="Q490" s="4"/>
      <c r="R490" s="4"/>
      <c r="S490" s="4"/>
      <c r="T490" s="4"/>
      <c r="U490" s="4"/>
      <c r="V490" s="4"/>
      <c r="W490" s="4"/>
    </row>
    <row r="491" spans="1:206" x14ac:dyDescent="0.2">
      <c r="A491" s="4">
        <v>50</v>
      </c>
      <c r="B491" s="4">
        <v>0</v>
      </c>
      <c r="C491" s="4">
        <v>0</v>
      </c>
      <c r="D491" s="4">
        <v>1</v>
      </c>
      <c r="E491" s="4">
        <v>222</v>
      </c>
      <c r="F491" s="4">
        <f>ROUND(Source!AO487,O491)</f>
        <v>0</v>
      </c>
      <c r="G491" s="4" t="s">
        <v>75</v>
      </c>
      <c r="H491" s="4" t="s">
        <v>76</v>
      </c>
      <c r="I491" s="4"/>
      <c r="J491" s="4"/>
      <c r="K491" s="4">
        <v>222</v>
      </c>
      <c r="L491" s="4">
        <v>3</v>
      </c>
      <c r="M491" s="4">
        <v>3</v>
      </c>
      <c r="N491" s="4" t="s">
        <v>3</v>
      </c>
      <c r="O491" s="4">
        <v>2</v>
      </c>
      <c r="P491" s="4"/>
      <c r="Q491" s="4"/>
      <c r="R491" s="4"/>
      <c r="S491" s="4"/>
      <c r="T491" s="4"/>
      <c r="U491" s="4"/>
      <c r="V491" s="4"/>
      <c r="W491" s="4"/>
    </row>
    <row r="492" spans="1:206" x14ac:dyDescent="0.2">
      <c r="A492" s="4">
        <v>50</v>
      </c>
      <c r="B492" s="4">
        <v>0</v>
      </c>
      <c r="C492" s="4">
        <v>0</v>
      </c>
      <c r="D492" s="4">
        <v>1</v>
      </c>
      <c r="E492" s="4">
        <v>225</v>
      </c>
      <c r="F492" s="4">
        <f>ROUND(Source!AV487,O492)</f>
        <v>5779276.1699999999</v>
      </c>
      <c r="G492" s="4" t="s">
        <v>77</v>
      </c>
      <c r="H492" s="4" t="s">
        <v>78</v>
      </c>
      <c r="I492" s="4"/>
      <c r="J492" s="4"/>
      <c r="K492" s="4">
        <v>225</v>
      </c>
      <c r="L492" s="4">
        <v>4</v>
      </c>
      <c r="M492" s="4">
        <v>3</v>
      </c>
      <c r="N492" s="4" t="s">
        <v>3</v>
      </c>
      <c r="O492" s="4">
        <v>2</v>
      </c>
      <c r="P492" s="4"/>
      <c r="Q492" s="4"/>
      <c r="R492" s="4"/>
      <c r="S492" s="4"/>
      <c r="T492" s="4"/>
      <c r="U492" s="4"/>
      <c r="V492" s="4"/>
      <c r="W492" s="4"/>
    </row>
    <row r="493" spans="1:206" x14ac:dyDescent="0.2">
      <c r="A493" s="4">
        <v>50</v>
      </c>
      <c r="B493" s="4">
        <v>0</v>
      </c>
      <c r="C493" s="4">
        <v>0</v>
      </c>
      <c r="D493" s="4">
        <v>1</v>
      </c>
      <c r="E493" s="4">
        <v>226</v>
      </c>
      <c r="F493" s="4">
        <f>ROUND(Source!AW487,O493)</f>
        <v>5779276.1699999999</v>
      </c>
      <c r="G493" s="4" t="s">
        <v>79</v>
      </c>
      <c r="H493" s="4" t="s">
        <v>80</v>
      </c>
      <c r="I493" s="4"/>
      <c r="J493" s="4"/>
      <c r="K493" s="4">
        <v>226</v>
      </c>
      <c r="L493" s="4">
        <v>5</v>
      </c>
      <c r="M493" s="4">
        <v>3</v>
      </c>
      <c r="N493" s="4" t="s">
        <v>3</v>
      </c>
      <c r="O493" s="4">
        <v>2</v>
      </c>
      <c r="P493" s="4"/>
      <c r="Q493" s="4"/>
      <c r="R493" s="4"/>
      <c r="S493" s="4"/>
      <c r="T493" s="4"/>
      <c r="U493" s="4"/>
      <c r="V493" s="4"/>
      <c r="W493" s="4"/>
    </row>
    <row r="494" spans="1:206" x14ac:dyDescent="0.2">
      <c r="A494" s="4">
        <v>50</v>
      </c>
      <c r="B494" s="4">
        <v>0</v>
      </c>
      <c r="C494" s="4">
        <v>0</v>
      </c>
      <c r="D494" s="4">
        <v>1</v>
      </c>
      <c r="E494" s="4">
        <v>227</v>
      </c>
      <c r="F494" s="4">
        <f>ROUND(Source!AX487,O494)</f>
        <v>0</v>
      </c>
      <c r="G494" s="4" t="s">
        <v>81</v>
      </c>
      <c r="H494" s="4" t="s">
        <v>82</v>
      </c>
      <c r="I494" s="4"/>
      <c r="J494" s="4"/>
      <c r="K494" s="4">
        <v>227</v>
      </c>
      <c r="L494" s="4">
        <v>6</v>
      </c>
      <c r="M494" s="4">
        <v>3</v>
      </c>
      <c r="N494" s="4" t="s">
        <v>3</v>
      </c>
      <c r="O494" s="4">
        <v>2</v>
      </c>
      <c r="P494" s="4"/>
      <c r="Q494" s="4"/>
      <c r="R494" s="4"/>
      <c r="S494" s="4"/>
      <c r="T494" s="4"/>
      <c r="U494" s="4"/>
      <c r="V494" s="4"/>
      <c r="W494" s="4"/>
    </row>
    <row r="495" spans="1:206" x14ac:dyDescent="0.2">
      <c r="A495" s="4">
        <v>50</v>
      </c>
      <c r="B495" s="4">
        <v>0</v>
      </c>
      <c r="C495" s="4">
        <v>0</v>
      </c>
      <c r="D495" s="4">
        <v>1</v>
      </c>
      <c r="E495" s="4">
        <v>228</v>
      </c>
      <c r="F495" s="4">
        <f>ROUND(Source!AY487,O495)</f>
        <v>5779276.1699999999</v>
      </c>
      <c r="G495" s="4" t="s">
        <v>83</v>
      </c>
      <c r="H495" s="4" t="s">
        <v>84</v>
      </c>
      <c r="I495" s="4"/>
      <c r="J495" s="4"/>
      <c r="K495" s="4">
        <v>228</v>
      </c>
      <c r="L495" s="4">
        <v>7</v>
      </c>
      <c r="M495" s="4">
        <v>3</v>
      </c>
      <c r="N495" s="4" t="s">
        <v>3</v>
      </c>
      <c r="O495" s="4">
        <v>2</v>
      </c>
      <c r="P495" s="4"/>
      <c r="Q495" s="4"/>
      <c r="R495" s="4"/>
      <c r="S495" s="4"/>
      <c r="T495" s="4"/>
      <c r="U495" s="4"/>
      <c r="V495" s="4"/>
      <c r="W495" s="4"/>
    </row>
    <row r="496" spans="1:206" x14ac:dyDescent="0.2">
      <c r="A496" s="4">
        <v>50</v>
      </c>
      <c r="B496" s="4">
        <v>0</v>
      </c>
      <c r="C496" s="4">
        <v>0</v>
      </c>
      <c r="D496" s="4">
        <v>1</v>
      </c>
      <c r="E496" s="4">
        <v>216</v>
      </c>
      <c r="F496" s="4">
        <f>ROUND(Source!AP487,O496)</f>
        <v>0</v>
      </c>
      <c r="G496" s="4" t="s">
        <v>85</v>
      </c>
      <c r="H496" s="4" t="s">
        <v>86</v>
      </c>
      <c r="I496" s="4"/>
      <c r="J496" s="4"/>
      <c r="K496" s="4">
        <v>216</v>
      </c>
      <c r="L496" s="4">
        <v>8</v>
      </c>
      <c r="M496" s="4">
        <v>3</v>
      </c>
      <c r="N496" s="4" t="s">
        <v>3</v>
      </c>
      <c r="O496" s="4">
        <v>2</v>
      </c>
      <c r="P496" s="4"/>
      <c r="Q496" s="4"/>
      <c r="R496" s="4"/>
      <c r="S496" s="4"/>
      <c r="T496" s="4"/>
      <c r="U496" s="4"/>
      <c r="V496" s="4"/>
      <c r="W496" s="4"/>
    </row>
    <row r="497" spans="1:23" x14ac:dyDescent="0.2">
      <c r="A497" s="4">
        <v>50</v>
      </c>
      <c r="B497" s="4">
        <v>0</v>
      </c>
      <c r="C497" s="4">
        <v>0</v>
      </c>
      <c r="D497" s="4">
        <v>1</v>
      </c>
      <c r="E497" s="4">
        <v>223</v>
      </c>
      <c r="F497" s="4">
        <f>ROUND(Source!AQ487,O497)</f>
        <v>0</v>
      </c>
      <c r="G497" s="4" t="s">
        <v>87</v>
      </c>
      <c r="H497" s="4" t="s">
        <v>88</v>
      </c>
      <c r="I497" s="4"/>
      <c r="J497" s="4"/>
      <c r="K497" s="4">
        <v>223</v>
      </c>
      <c r="L497" s="4">
        <v>9</v>
      </c>
      <c r="M497" s="4">
        <v>3</v>
      </c>
      <c r="N497" s="4" t="s">
        <v>3</v>
      </c>
      <c r="O497" s="4">
        <v>2</v>
      </c>
      <c r="P497" s="4"/>
      <c r="Q497" s="4"/>
      <c r="R497" s="4"/>
      <c r="S497" s="4"/>
      <c r="T497" s="4"/>
      <c r="U497" s="4"/>
      <c r="V497" s="4"/>
      <c r="W497" s="4"/>
    </row>
    <row r="498" spans="1:23" x14ac:dyDescent="0.2">
      <c r="A498" s="4">
        <v>50</v>
      </c>
      <c r="B498" s="4">
        <v>0</v>
      </c>
      <c r="C498" s="4">
        <v>0</v>
      </c>
      <c r="D498" s="4">
        <v>1</v>
      </c>
      <c r="E498" s="4">
        <v>229</v>
      </c>
      <c r="F498" s="4">
        <f>ROUND(Source!AZ487,O498)</f>
        <v>0</v>
      </c>
      <c r="G498" s="4" t="s">
        <v>89</v>
      </c>
      <c r="H498" s="4" t="s">
        <v>90</v>
      </c>
      <c r="I498" s="4"/>
      <c r="J498" s="4"/>
      <c r="K498" s="4">
        <v>229</v>
      </c>
      <c r="L498" s="4">
        <v>10</v>
      </c>
      <c r="M498" s="4">
        <v>3</v>
      </c>
      <c r="N498" s="4" t="s">
        <v>3</v>
      </c>
      <c r="O498" s="4">
        <v>2</v>
      </c>
      <c r="P498" s="4"/>
      <c r="Q498" s="4"/>
      <c r="R498" s="4"/>
      <c r="S498" s="4"/>
      <c r="T498" s="4"/>
      <c r="U498" s="4"/>
      <c r="V498" s="4"/>
      <c r="W498" s="4"/>
    </row>
    <row r="499" spans="1:23" x14ac:dyDescent="0.2">
      <c r="A499" s="4">
        <v>50</v>
      </c>
      <c r="B499" s="4">
        <v>0</v>
      </c>
      <c r="C499" s="4">
        <v>0</v>
      </c>
      <c r="D499" s="4">
        <v>1</v>
      </c>
      <c r="E499" s="4">
        <v>203</v>
      </c>
      <c r="F499" s="4">
        <f>ROUND(Source!Q487,O499)</f>
        <v>1936718.59</v>
      </c>
      <c r="G499" s="4" t="s">
        <v>91</v>
      </c>
      <c r="H499" s="4" t="s">
        <v>92</v>
      </c>
      <c r="I499" s="4"/>
      <c r="J499" s="4"/>
      <c r="K499" s="4">
        <v>203</v>
      </c>
      <c r="L499" s="4">
        <v>11</v>
      </c>
      <c r="M499" s="4">
        <v>3</v>
      </c>
      <c r="N499" s="4" t="s">
        <v>3</v>
      </c>
      <c r="O499" s="4">
        <v>2</v>
      </c>
      <c r="P499" s="4"/>
      <c r="Q499" s="4"/>
      <c r="R499" s="4"/>
      <c r="S499" s="4"/>
      <c r="T499" s="4"/>
      <c r="U499" s="4"/>
      <c r="V499" s="4"/>
      <c r="W499" s="4"/>
    </row>
    <row r="500" spans="1:23" x14ac:dyDescent="0.2">
      <c r="A500" s="4">
        <v>50</v>
      </c>
      <c r="B500" s="4">
        <v>0</v>
      </c>
      <c r="C500" s="4">
        <v>0</v>
      </c>
      <c r="D500" s="4">
        <v>1</v>
      </c>
      <c r="E500" s="4">
        <v>231</v>
      </c>
      <c r="F500" s="4">
        <f>ROUND(Source!BB487,O500)</f>
        <v>0</v>
      </c>
      <c r="G500" s="4" t="s">
        <v>93</v>
      </c>
      <c r="H500" s="4" t="s">
        <v>94</v>
      </c>
      <c r="I500" s="4"/>
      <c r="J500" s="4"/>
      <c r="K500" s="4">
        <v>231</v>
      </c>
      <c r="L500" s="4">
        <v>12</v>
      </c>
      <c r="M500" s="4">
        <v>3</v>
      </c>
      <c r="N500" s="4" t="s">
        <v>3</v>
      </c>
      <c r="O500" s="4">
        <v>2</v>
      </c>
      <c r="P500" s="4"/>
      <c r="Q500" s="4"/>
      <c r="R500" s="4"/>
      <c r="S500" s="4"/>
      <c r="T500" s="4"/>
      <c r="U500" s="4"/>
      <c r="V500" s="4"/>
      <c r="W500" s="4"/>
    </row>
    <row r="501" spans="1:23" x14ac:dyDescent="0.2">
      <c r="A501" s="4">
        <v>50</v>
      </c>
      <c r="B501" s="4">
        <v>0</v>
      </c>
      <c r="C501" s="4">
        <v>0</v>
      </c>
      <c r="D501" s="4">
        <v>1</v>
      </c>
      <c r="E501" s="4">
        <v>204</v>
      </c>
      <c r="F501" s="4">
        <f>ROUND(Source!R487,O501)</f>
        <v>992170.94</v>
      </c>
      <c r="G501" s="4" t="s">
        <v>95</v>
      </c>
      <c r="H501" s="4" t="s">
        <v>96</v>
      </c>
      <c r="I501" s="4"/>
      <c r="J501" s="4"/>
      <c r="K501" s="4">
        <v>204</v>
      </c>
      <c r="L501" s="4">
        <v>13</v>
      </c>
      <c r="M501" s="4">
        <v>3</v>
      </c>
      <c r="N501" s="4" t="s">
        <v>3</v>
      </c>
      <c r="O501" s="4">
        <v>2</v>
      </c>
      <c r="P501" s="4"/>
      <c r="Q501" s="4"/>
      <c r="R501" s="4"/>
      <c r="S501" s="4"/>
      <c r="T501" s="4"/>
      <c r="U501" s="4"/>
      <c r="V501" s="4"/>
      <c r="W501" s="4"/>
    </row>
    <row r="502" spans="1:23" x14ac:dyDescent="0.2">
      <c r="A502" s="4">
        <v>50</v>
      </c>
      <c r="B502" s="4">
        <v>0</v>
      </c>
      <c r="C502" s="4">
        <v>0</v>
      </c>
      <c r="D502" s="4">
        <v>1</v>
      </c>
      <c r="E502" s="4">
        <v>205</v>
      </c>
      <c r="F502" s="4">
        <f>ROUND(Source!S487,O502)</f>
        <v>565555.46</v>
      </c>
      <c r="G502" s="4" t="s">
        <v>97</v>
      </c>
      <c r="H502" s="4" t="s">
        <v>98</v>
      </c>
      <c r="I502" s="4"/>
      <c r="J502" s="4"/>
      <c r="K502" s="4">
        <v>205</v>
      </c>
      <c r="L502" s="4">
        <v>14</v>
      </c>
      <c r="M502" s="4">
        <v>3</v>
      </c>
      <c r="N502" s="4" t="s">
        <v>3</v>
      </c>
      <c r="O502" s="4">
        <v>2</v>
      </c>
      <c r="P502" s="4"/>
      <c r="Q502" s="4"/>
      <c r="R502" s="4"/>
      <c r="S502" s="4"/>
      <c r="T502" s="4"/>
      <c r="U502" s="4"/>
      <c r="V502" s="4"/>
      <c r="W502" s="4"/>
    </row>
    <row r="503" spans="1:23" x14ac:dyDescent="0.2">
      <c r="A503" s="4">
        <v>50</v>
      </c>
      <c r="B503" s="4">
        <v>0</v>
      </c>
      <c r="C503" s="4">
        <v>0</v>
      </c>
      <c r="D503" s="4">
        <v>1</v>
      </c>
      <c r="E503" s="4">
        <v>232</v>
      </c>
      <c r="F503" s="4">
        <f>ROUND(Source!BC487,O503)</f>
        <v>0</v>
      </c>
      <c r="G503" s="4" t="s">
        <v>99</v>
      </c>
      <c r="H503" s="4" t="s">
        <v>100</v>
      </c>
      <c r="I503" s="4"/>
      <c r="J503" s="4"/>
      <c r="K503" s="4">
        <v>232</v>
      </c>
      <c r="L503" s="4">
        <v>15</v>
      </c>
      <c r="M503" s="4">
        <v>3</v>
      </c>
      <c r="N503" s="4" t="s">
        <v>3</v>
      </c>
      <c r="O503" s="4">
        <v>2</v>
      </c>
      <c r="P503" s="4"/>
      <c r="Q503" s="4"/>
      <c r="R503" s="4"/>
      <c r="S503" s="4"/>
      <c r="T503" s="4"/>
      <c r="U503" s="4"/>
      <c r="V503" s="4"/>
      <c r="W503" s="4"/>
    </row>
    <row r="504" spans="1:23" x14ac:dyDescent="0.2">
      <c r="A504" s="4">
        <v>50</v>
      </c>
      <c r="B504" s="4">
        <v>0</v>
      </c>
      <c r="C504" s="4">
        <v>0</v>
      </c>
      <c r="D504" s="4">
        <v>1</v>
      </c>
      <c r="E504" s="4">
        <v>214</v>
      </c>
      <c r="F504" s="4">
        <f>ROUND(Source!AS487,O504)</f>
        <v>221215.23</v>
      </c>
      <c r="G504" s="4" t="s">
        <v>101</v>
      </c>
      <c r="H504" s="4" t="s">
        <v>102</v>
      </c>
      <c r="I504" s="4"/>
      <c r="J504" s="4"/>
      <c r="K504" s="4">
        <v>214</v>
      </c>
      <c r="L504" s="4">
        <v>16</v>
      </c>
      <c r="M504" s="4">
        <v>3</v>
      </c>
      <c r="N504" s="4" t="s">
        <v>3</v>
      </c>
      <c r="O504" s="4">
        <v>2</v>
      </c>
      <c r="P504" s="4"/>
      <c r="Q504" s="4"/>
      <c r="R504" s="4"/>
      <c r="S504" s="4"/>
      <c r="T504" s="4"/>
      <c r="U504" s="4"/>
      <c r="V504" s="4"/>
      <c r="W504" s="4"/>
    </row>
    <row r="505" spans="1:23" x14ac:dyDescent="0.2">
      <c r="A505" s="4">
        <v>50</v>
      </c>
      <c r="B505" s="4">
        <v>0</v>
      </c>
      <c r="C505" s="4">
        <v>0</v>
      </c>
      <c r="D505" s="4">
        <v>1</v>
      </c>
      <c r="E505" s="4">
        <v>215</v>
      </c>
      <c r="F505" s="4">
        <f>ROUND(Source!AT487,O505)</f>
        <v>0</v>
      </c>
      <c r="G505" s="4" t="s">
        <v>103</v>
      </c>
      <c r="H505" s="4" t="s">
        <v>104</v>
      </c>
      <c r="I505" s="4"/>
      <c r="J505" s="4"/>
      <c r="K505" s="4">
        <v>215</v>
      </c>
      <c r="L505" s="4">
        <v>17</v>
      </c>
      <c r="M505" s="4">
        <v>3</v>
      </c>
      <c r="N505" s="4" t="s">
        <v>3</v>
      </c>
      <c r="O505" s="4">
        <v>2</v>
      </c>
      <c r="P505" s="4"/>
      <c r="Q505" s="4"/>
      <c r="R505" s="4"/>
      <c r="S505" s="4"/>
      <c r="T505" s="4"/>
      <c r="U505" s="4"/>
      <c r="V505" s="4"/>
      <c r="W505" s="4"/>
    </row>
    <row r="506" spans="1:23" x14ac:dyDescent="0.2">
      <c r="A506" s="4">
        <v>50</v>
      </c>
      <c r="B506" s="4">
        <v>0</v>
      </c>
      <c r="C506" s="4">
        <v>0</v>
      </c>
      <c r="D506" s="4">
        <v>1</v>
      </c>
      <c r="E506" s="4">
        <v>217</v>
      </c>
      <c r="F506" s="4">
        <f>ROUND(Source!AU487,O506)</f>
        <v>8744219.2799999993</v>
      </c>
      <c r="G506" s="4" t="s">
        <v>105</v>
      </c>
      <c r="H506" s="4" t="s">
        <v>106</v>
      </c>
      <c r="I506" s="4"/>
      <c r="J506" s="4"/>
      <c r="K506" s="4">
        <v>217</v>
      </c>
      <c r="L506" s="4">
        <v>18</v>
      </c>
      <c r="M506" s="4">
        <v>3</v>
      </c>
      <c r="N506" s="4" t="s">
        <v>3</v>
      </c>
      <c r="O506" s="4">
        <v>2</v>
      </c>
      <c r="P506" s="4"/>
      <c r="Q506" s="4"/>
      <c r="R506" s="4"/>
      <c r="S506" s="4"/>
      <c r="T506" s="4"/>
      <c r="U506" s="4"/>
      <c r="V506" s="4"/>
      <c r="W506" s="4"/>
    </row>
    <row r="507" spans="1:23" x14ac:dyDescent="0.2">
      <c r="A507" s="4">
        <v>50</v>
      </c>
      <c r="B507" s="4">
        <v>0</v>
      </c>
      <c r="C507" s="4">
        <v>0</v>
      </c>
      <c r="D507" s="4">
        <v>1</v>
      </c>
      <c r="E507" s="4">
        <v>230</v>
      </c>
      <c r="F507" s="4">
        <f>ROUND(Source!BA487,O507)</f>
        <v>0</v>
      </c>
      <c r="G507" s="4" t="s">
        <v>107</v>
      </c>
      <c r="H507" s="4" t="s">
        <v>108</v>
      </c>
      <c r="I507" s="4"/>
      <c r="J507" s="4"/>
      <c r="K507" s="4">
        <v>230</v>
      </c>
      <c r="L507" s="4">
        <v>19</v>
      </c>
      <c r="M507" s="4">
        <v>3</v>
      </c>
      <c r="N507" s="4" t="s">
        <v>3</v>
      </c>
      <c r="O507" s="4">
        <v>2</v>
      </c>
      <c r="P507" s="4"/>
      <c r="Q507" s="4"/>
      <c r="R507" s="4"/>
      <c r="S507" s="4"/>
      <c r="T507" s="4"/>
      <c r="U507" s="4"/>
      <c r="V507" s="4"/>
      <c r="W507" s="4"/>
    </row>
    <row r="508" spans="1:23" x14ac:dyDescent="0.2">
      <c r="A508" s="4">
        <v>50</v>
      </c>
      <c r="B508" s="4">
        <v>0</v>
      </c>
      <c r="C508" s="4">
        <v>0</v>
      </c>
      <c r="D508" s="4">
        <v>1</v>
      </c>
      <c r="E508" s="4">
        <v>206</v>
      </c>
      <c r="F508" s="4">
        <f>ROUND(Source!T487,O508)</f>
        <v>0</v>
      </c>
      <c r="G508" s="4" t="s">
        <v>109</v>
      </c>
      <c r="H508" s="4" t="s">
        <v>110</v>
      </c>
      <c r="I508" s="4"/>
      <c r="J508" s="4"/>
      <c r="K508" s="4">
        <v>206</v>
      </c>
      <c r="L508" s="4">
        <v>20</v>
      </c>
      <c r="M508" s="4">
        <v>3</v>
      </c>
      <c r="N508" s="4" t="s">
        <v>3</v>
      </c>
      <c r="O508" s="4">
        <v>2</v>
      </c>
      <c r="P508" s="4"/>
      <c r="Q508" s="4"/>
      <c r="R508" s="4"/>
      <c r="S508" s="4"/>
      <c r="T508" s="4"/>
      <c r="U508" s="4"/>
      <c r="V508" s="4"/>
      <c r="W508" s="4"/>
    </row>
    <row r="509" spans="1:23" x14ac:dyDescent="0.2">
      <c r="A509" s="4">
        <v>50</v>
      </c>
      <c r="B509" s="4">
        <v>0</v>
      </c>
      <c r="C509" s="4">
        <v>0</v>
      </c>
      <c r="D509" s="4">
        <v>1</v>
      </c>
      <c r="E509" s="4">
        <v>207</v>
      </c>
      <c r="F509" s="4">
        <f>Source!U487</f>
        <v>2822.3932064999999</v>
      </c>
      <c r="G509" s="4" t="s">
        <v>111</v>
      </c>
      <c r="H509" s="4" t="s">
        <v>112</v>
      </c>
      <c r="I509" s="4"/>
      <c r="J509" s="4"/>
      <c r="K509" s="4">
        <v>207</v>
      </c>
      <c r="L509" s="4">
        <v>21</v>
      </c>
      <c r="M509" s="4">
        <v>3</v>
      </c>
      <c r="N509" s="4" t="s">
        <v>3</v>
      </c>
      <c r="O509" s="4">
        <v>-1</v>
      </c>
      <c r="P509" s="4"/>
      <c r="Q509" s="4"/>
      <c r="R509" s="4"/>
      <c r="S509" s="4"/>
      <c r="T509" s="4"/>
      <c r="U509" s="4"/>
      <c r="V509" s="4"/>
      <c r="W509" s="4"/>
    </row>
    <row r="510" spans="1:23" x14ac:dyDescent="0.2">
      <c r="A510" s="4">
        <v>50</v>
      </c>
      <c r="B510" s="4">
        <v>0</v>
      </c>
      <c r="C510" s="4">
        <v>0</v>
      </c>
      <c r="D510" s="4">
        <v>1</v>
      </c>
      <c r="E510" s="4">
        <v>208</v>
      </c>
      <c r="F510" s="4">
        <f>Source!V487</f>
        <v>0</v>
      </c>
      <c r="G510" s="4" t="s">
        <v>113</v>
      </c>
      <c r="H510" s="4" t="s">
        <v>114</v>
      </c>
      <c r="I510" s="4"/>
      <c r="J510" s="4"/>
      <c r="K510" s="4">
        <v>208</v>
      </c>
      <c r="L510" s="4">
        <v>22</v>
      </c>
      <c r="M510" s="4">
        <v>3</v>
      </c>
      <c r="N510" s="4" t="s">
        <v>3</v>
      </c>
      <c r="O510" s="4">
        <v>-1</v>
      </c>
      <c r="P510" s="4"/>
      <c r="Q510" s="4"/>
      <c r="R510" s="4"/>
      <c r="S510" s="4"/>
      <c r="T510" s="4"/>
      <c r="U510" s="4"/>
      <c r="V510" s="4"/>
      <c r="W510" s="4"/>
    </row>
    <row r="511" spans="1:23" x14ac:dyDescent="0.2">
      <c r="A511" s="4">
        <v>50</v>
      </c>
      <c r="B511" s="4">
        <v>0</v>
      </c>
      <c r="C511" s="4">
        <v>0</v>
      </c>
      <c r="D511" s="4">
        <v>1</v>
      </c>
      <c r="E511" s="4">
        <v>209</v>
      </c>
      <c r="F511" s="4">
        <f>ROUND(Source!W487,O511)</f>
        <v>0</v>
      </c>
      <c r="G511" s="4" t="s">
        <v>115</v>
      </c>
      <c r="H511" s="4" t="s">
        <v>116</v>
      </c>
      <c r="I511" s="4"/>
      <c r="J511" s="4"/>
      <c r="K511" s="4">
        <v>209</v>
      </c>
      <c r="L511" s="4">
        <v>23</v>
      </c>
      <c r="M511" s="4">
        <v>3</v>
      </c>
      <c r="N511" s="4" t="s">
        <v>3</v>
      </c>
      <c r="O511" s="4">
        <v>2</v>
      </c>
      <c r="P511" s="4"/>
      <c r="Q511" s="4"/>
      <c r="R511" s="4"/>
      <c r="S511" s="4"/>
      <c r="T511" s="4"/>
      <c r="U511" s="4"/>
      <c r="V511" s="4"/>
      <c r="W511" s="4"/>
    </row>
    <row r="512" spans="1:23" x14ac:dyDescent="0.2">
      <c r="A512" s="4">
        <v>50</v>
      </c>
      <c r="B512" s="4">
        <v>0</v>
      </c>
      <c r="C512" s="4">
        <v>0</v>
      </c>
      <c r="D512" s="4">
        <v>1</v>
      </c>
      <c r="E512" s="4">
        <v>210</v>
      </c>
      <c r="F512" s="4">
        <f>ROUND(Source!X487,O512)</f>
        <v>395888.82</v>
      </c>
      <c r="G512" s="4" t="s">
        <v>117</v>
      </c>
      <c r="H512" s="4" t="s">
        <v>118</v>
      </c>
      <c r="I512" s="4"/>
      <c r="J512" s="4"/>
      <c r="K512" s="4">
        <v>210</v>
      </c>
      <c r="L512" s="4">
        <v>24</v>
      </c>
      <c r="M512" s="4">
        <v>3</v>
      </c>
      <c r="N512" s="4" t="s">
        <v>3</v>
      </c>
      <c r="O512" s="4">
        <v>2</v>
      </c>
      <c r="P512" s="4"/>
      <c r="Q512" s="4"/>
      <c r="R512" s="4"/>
      <c r="S512" s="4"/>
      <c r="T512" s="4"/>
      <c r="U512" s="4"/>
      <c r="V512" s="4"/>
      <c r="W512" s="4"/>
    </row>
    <row r="513" spans="1:23" x14ac:dyDescent="0.2">
      <c r="A513" s="4">
        <v>50</v>
      </c>
      <c r="B513" s="4">
        <v>0</v>
      </c>
      <c r="C513" s="4">
        <v>0</v>
      </c>
      <c r="D513" s="4">
        <v>1</v>
      </c>
      <c r="E513" s="4">
        <v>211</v>
      </c>
      <c r="F513" s="4">
        <f>ROUND(Source!Y487,O513)</f>
        <v>56555.53</v>
      </c>
      <c r="G513" s="4" t="s">
        <v>119</v>
      </c>
      <c r="H513" s="4" t="s">
        <v>120</v>
      </c>
      <c r="I513" s="4"/>
      <c r="J513" s="4"/>
      <c r="K513" s="4">
        <v>211</v>
      </c>
      <c r="L513" s="4">
        <v>25</v>
      </c>
      <c r="M513" s="4">
        <v>3</v>
      </c>
      <c r="N513" s="4" t="s">
        <v>3</v>
      </c>
      <c r="O513" s="4">
        <v>2</v>
      </c>
      <c r="P513" s="4"/>
      <c r="Q513" s="4"/>
      <c r="R513" s="4"/>
      <c r="S513" s="4"/>
      <c r="T513" s="4"/>
      <c r="U513" s="4"/>
      <c r="V513" s="4"/>
      <c r="W513" s="4"/>
    </row>
    <row r="514" spans="1:23" x14ac:dyDescent="0.2">
      <c r="A514" s="4">
        <v>50</v>
      </c>
      <c r="B514" s="4">
        <v>0</v>
      </c>
      <c r="C514" s="4">
        <v>0</v>
      </c>
      <c r="D514" s="4">
        <v>1</v>
      </c>
      <c r="E514" s="4">
        <v>224</v>
      </c>
      <c r="F514" s="4">
        <f>ROUND(Source!AR487,O514)</f>
        <v>8965434.5099999998</v>
      </c>
      <c r="G514" s="4" t="s">
        <v>121</v>
      </c>
      <c r="H514" s="4" t="s">
        <v>122</v>
      </c>
      <c r="I514" s="4"/>
      <c r="J514" s="4"/>
      <c r="K514" s="4">
        <v>224</v>
      </c>
      <c r="L514" s="4">
        <v>26</v>
      </c>
      <c r="M514" s="4">
        <v>3</v>
      </c>
      <c r="N514" s="4" t="s">
        <v>3</v>
      </c>
      <c r="O514" s="4">
        <v>2</v>
      </c>
      <c r="P514" s="4"/>
      <c r="Q514" s="4"/>
      <c r="R514" s="4"/>
      <c r="S514" s="4"/>
      <c r="T514" s="4"/>
      <c r="U514" s="4"/>
      <c r="V514" s="4"/>
      <c r="W514" s="4"/>
    </row>
    <row r="515" spans="1:23" x14ac:dyDescent="0.2">
      <c r="A515" s="4">
        <v>50</v>
      </c>
      <c r="B515" s="4">
        <v>1</v>
      </c>
      <c r="C515" s="4">
        <v>0</v>
      </c>
      <c r="D515" s="4">
        <v>2</v>
      </c>
      <c r="E515" s="4">
        <v>0</v>
      </c>
      <c r="F515" s="4">
        <f>ROUND(F514,O515)</f>
        <v>8965434.5099999998</v>
      </c>
      <c r="G515" s="4" t="s">
        <v>19</v>
      </c>
      <c r="H515" s="4" t="s">
        <v>123</v>
      </c>
      <c r="I515" s="4"/>
      <c r="J515" s="4"/>
      <c r="K515" s="4">
        <v>212</v>
      </c>
      <c r="L515" s="4">
        <v>27</v>
      </c>
      <c r="M515" s="4">
        <v>0</v>
      </c>
      <c r="N515" s="4" t="s">
        <v>3</v>
      </c>
      <c r="O515" s="4">
        <v>2</v>
      </c>
      <c r="P515" s="4"/>
      <c r="Q515" s="4"/>
      <c r="R515" s="4"/>
      <c r="S515" s="4"/>
      <c r="T515" s="4"/>
      <c r="U515" s="4"/>
      <c r="V515" s="4"/>
      <c r="W515" s="4"/>
    </row>
    <row r="516" spans="1:23" x14ac:dyDescent="0.2">
      <c r="A516" s="4">
        <v>50</v>
      </c>
      <c r="B516" s="4">
        <v>1</v>
      </c>
      <c r="C516" s="4">
        <v>0</v>
      </c>
      <c r="D516" s="4">
        <v>2</v>
      </c>
      <c r="E516" s="4">
        <v>0</v>
      </c>
      <c r="F516" s="4">
        <f>ROUND(F515*0.2,O516)</f>
        <v>1793086.9</v>
      </c>
      <c r="G516" s="4" t="s">
        <v>27</v>
      </c>
      <c r="H516" s="4" t="s">
        <v>124</v>
      </c>
      <c r="I516" s="4"/>
      <c r="J516" s="4"/>
      <c r="K516" s="4">
        <v>212</v>
      </c>
      <c r="L516" s="4">
        <v>28</v>
      </c>
      <c r="M516" s="4">
        <v>0</v>
      </c>
      <c r="N516" s="4" t="s">
        <v>3</v>
      </c>
      <c r="O516" s="4">
        <v>2</v>
      </c>
      <c r="P516" s="4"/>
      <c r="Q516" s="4"/>
      <c r="R516" s="4"/>
      <c r="S516" s="4"/>
      <c r="T516" s="4"/>
      <c r="U516" s="4"/>
      <c r="V516" s="4"/>
      <c r="W516" s="4"/>
    </row>
    <row r="517" spans="1:23" x14ac:dyDescent="0.2">
      <c r="A517" s="4">
        <v>50</v>
      </c>
      <c r="B517" s="4">
        <v>1</v>
      </c>
      <c r="C517" s="4">
        <v>0</v>
      </c>
      <c r="D517" s="4">
        <v>2</v>
      </c>
      <c r="E517" s="4">
        <v>0</v>
      </c>
      <c r="F517" s="4">
        <f>ROUND(F515+F516,O517)</f>
        <v>10758521.41</v>
      </c>
      <c r="G517" s="4" t="s">
        <v>31</v>
      </c>
      <c r="H517" s="4" t="s">
        <v>121</v>
      </c>
      <c r="I517" s="4"/>
      <c r="J517" s="4"/>
      <c r="K517" s="4">
        <v>212</v>
      </c>
      <c r="L517" s="4">
        <v>29</v>
      </c>
      <c r="M517" s="4">
        <v>0</v>
      </c>
      <c r="N517" s="4" t="s">
        <v>3</v>
      </c>
      <c r="O517" s="4">
        <v>2</v>
      </c>
      <c r="P517" s="4"/>
      <c r="Q517" s="4"/>
      <c r="R517" s="4"/>
      <c r="S517" s="4"/>
      <c r="T517" s="4"/>
      <c r="U517" s="4"/>
      <c r="V517" s="4"/>
      <c r="W517" s="4"/>
    </row>
    <row r="520" spans="1:23" x14ac:dyDescent="0.2">
      <c r="A520">
        <v>-1</v>
      </c>
    </row>
    <row r="522" spans="1:23" x14ac:dyDescent="0.2">
      <c r="A522" s="3">
        <v>75</v>
      </c>
      <c r="B522" s="3" t="s">
        <v>270</v>
      </c>
      <c r="C522" s="3">
        <v>2020</v>
      </c>
      <c r="D522" s="3">
        <v>0</v>
      </c>
      <c r="E522" s="3">
        <v>10</v>
      </c>
      <c r="F522" s="3">
        <v>0</v>
      </c>
      <c r="G522" s="3">
        <v>0</v>
      </c>
      <c r="H522" s="3">
        <v>1</v>
      </c>
      <c r="I522" s="3">
        <v>0</v>
      </c>
      <c r="J522" s="3">
        <v>1</v>
      </c>
      <c r="K522" s="3">
        <v>78</v>
      </c>
      <c r="L522" s="3">
        <v>30</v>
      </c>
      <c r="M522" s="3">
        <v>0</v>
      </c>
      <c r="N522" s="3">
        <v>42184655</v>
      </c>
      <c r="O522" s="3">
        <v>1</v>
      </c>
    </row>
    <row r="526" spans="1:23" x14ac:dyDescent="0.2">
      <c r="A526">
        <v>65</v>
      </c>
      <c r="C526">
        <v>1</v>
      </c>
      <c r="D526">
        <v>0</v>
      </c>
      <c r="E526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271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33353</v>
      </c>
      <c r="M1">
        <v>10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42184655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5">
        <v>3</v>
      </c>
      <c r="B16" s="5">
        <v>1</v>
      </c>
      <c r="C16" s="5" t="s">
        <v>15</v>
      </c>
      <c r="D16" s="5" t="s">
        <v>16</v>
      </c>
      <c r="E16" s="6">
        <f>(Source!F475)/1000</f>
        <v>221.21523000000002</v>
      </c>
      <c r="F16" s="6">
        <f>(Source!F476)/1000</f>
        <v>0</v>
      </c>
      <c r="G16" s="6">
        <f>(Source!F467)/1000</f>
        <v>0</v>
      </c>
      <c r="H16" s="6">
        <f>(Source!F477)/1000+(Source!F478)/1000</f>
        <v>8744.2192799999993</v>
      </c>
      <c r="I16" s="6">
        <f>E16+F16+G16+H16</f>
        <v>8965.4345099999991</v>
      </c>
      <c r="J16" s="6">
        <f>(Source!F473)/1000</f>
        <v>565.55545999999993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16417829.109999999</v>
      </c>
      <c r="AU16" s="6">
        <v>13564900.689999999</v>
      </c>
      <c r="AV16" s="6">
        <v>0</v>
      </c>
      <c r="AW16" s="6">
        <v>0</v>
      </c>
      <c r="AX16" s="6">
        <v>0</v>
      </c>
      <c r="AY16" s="6">
        <v>2075282.22</v>
      </c>
      <c r="AZ16" s="6">
        <v>1095671.56</v>
      </c>
      <c r="BA16" s="6">
        <v>777646.2</v>
      </c>
      <c r="BB16" s="6">
        <v>221215.23</v>
      </c>
      <c r="BC16" s="6">
        <v>0</v>
      </c>
      <c r="BD16" s="6">
        <v>17161951.449999999</v>
      </c>
      <c r="BE16" s="6">
        <v>0</v>
      </c>
      <c r="BF16" s="6">
        <v>3779.2691424999998</v>
      </c>
      <c r="BG16" s="6">
        <v>0</v>
      </c>
      <c r="BH16" s="6">
        <v>0</v>
      </c>
      <c r="BI16" s="6">
        <v>544352.35</v>
      </c>
      <c r="BJ16" s="6">
        <v>77764.61</v>
      </c>
      <c r="BK16" s="6">
        <v>17383166.68</v>
      </c>
    </row>
    <row r="18" spans="1:19" x14ac:dyDescent="0.2">
      <c r="A18">
        <v>51</v>
      </c>
      <c r="E18" s="7">
        <f>SUMIF(A16:A17,3,E16:E17)</f>
        <v>221.21523000000002</v>
      </c>
      <c r="F18" s="7">
        <f>SUMIF(A16:A17,3,F16:F17)</f>
        <v>0</v>
      </c>
      <c r="G18" s="7">
        <f>SUMIF(A16:A17,3,G16:G17)</f>
        <v>0</v>
      </c>
      <c r="H18" s="7">
        <f>SUMIF(A16:A17,3,H16:H17)</f>
        <v>8744.2192799999993</v>
      </c>
      <c r="I18" s="7">
        <f>SUMIF(A16:A17,3,I16:I17)</f>
        <v>8965.4345099999991</v>
      </c>
      <c r="J18" s="7">
        <f>SUMIF(A16:A17,3,J16:J17)</f>
        <v>565.55545999999993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16417829.109999999</v>
      </c>
      <c r="G20" s="4" t="s">
        <v>71</v>
      </c>
      <c r="H20" s="4" t="s">
        <v>72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13564900.689999999</v>
      </c>
      <c r="G21" s="4" t="s">
        <v>73</v>
      </c>
      <c r="H21" s="4" t="s">
        <v>74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75</v>
      </c>
      <c r="H22" s="4" t="s">
        <v>76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13564900.689999999</v>
      </c>
      <c r="G23" s="4" t="s">
        <v>77</v>
      </c>
      <c r="H23" s="4" t="s">
        <v>78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13564900.689999999</v>
      </c>
      <c r="G24" s="4" t="s">
        <v>79</v>
      </c>
      <c r="H24" s="4" t="s">
        <v>80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81</v>
      </c>
      <c r="H25" s="4" t="s">
        <v>82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13564900.689999999</v>
      </c>
      <c r="G26" s="4" t="s">
        <v>83</v>
      </c>
      <c r="H26" s="4" t="s">
        <v>84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85</v>
      </c>
      <c r="H27" s="4" t="s">
        <v>86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87</v>
      </c>
      <c r="H28" s="4" t="s">
        <v>88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89</v>
      </c>
      <c r="H29" s="4" t="s">
        <v>90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2075282.22</v>
      </c>
      <c r="G30" s="4" t="s">
        <v>91</v>
      </c>
      <c r="H30" s="4" t="s">
        <v>92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93</v>
      </c>
      <c r="H31" s="4" t="s">
        <v>94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1095671.56</v>
      </c>
      <c r="G32" s="4" t="s">
        <v>95</v>
      </c>
      <c r="H32" s="4" t="s">
        <v>96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777646.2</v>
      </c>
      <c r="G33" s="4" t="s">
        <v>97</v>
      </c>
      <c r="H33" s="4" t="s">
        <v>98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99</v>
      </c>
      <c r="H34" s="4" t="s">
        <v>100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221215.23</v>
      </c>
      <c r="G35" s="4" t="s">
        <v>101</v>
      </c>
      <c r="H35" s="4" t="s">
        <v>102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103</v>
      </c>
      <c r="H36" s="4" t="s">
        <v>104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17161951.449999999</v>
      </c>
      <c r="G37" s="4" t="s">
        <v>105</v>
      </c>
      <c r="H37" s="4" t="s">
        <v>106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107</v>
      </c>
      <c r="H38" s="4" t="s">
        <v>108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109</v>
      </c>
      <c r="H39" s="4" t="s">
        <v>110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3779.2691424999998</v>
      </c>
      <c r="G40" s="4" t="s">
        <v>111</v>
      </c>
      <c r="H40" s="4" t="s">
        <v>112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113</v>
      </c>
      <c r="H41" s="4" t="s">
        <v>114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115</v>
      </c>
      <c r="H42" s="4" t="s">
        <v>116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544352.35</v>
      </c>
      <c r="G43" s="4" t="s">
        <v>117</v>
      </c>
      <c r="H43" s="4" t="s">
        <v>118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77764.61</v>
      </c>
      <c r="G44" s="4" t="s">
        <v>119</v>
      </c>
      <c r="H44" s="4" t="s">
        <v>120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17383166.68</v>
      </c>
      <c r="G45" s="4" t="s">
        <v>121</v>
      </c>
      <c r="H45" s="4" t="s">
        <v>122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17383166.68</v>
      </c>
      <c r="G46" s="4" t="s">
        <v>19</v>
      </c>
      <c r="H46" s="4" t="s">
        <v>123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3476633.34</v>
      </c>
      <c r="G47" s="4" t="s">
        <v>27</v>
      </c>
      <c r="H47" s="4" t="s">
        <v>124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20859800.02</v>
      </c>
      <c r="G48" s="4" t="s">
        <v>31</v>
      </c>
      <c r="H48" s="4" t="s">
        <v>121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15" x14ac:dyDescent="0.2">
      <c r="A50">
        <v>-1</v>
      </c>
    </row>
    <row r="53" spans="1:15" x14ac:dyDescent="0.2">
      <c r="A53" s="3">
        <v>75</v>
      </c>
      <c r="B53" s="3" t="s">
        <v>270</v>
      </c>
      <c r="C53" s="3">
        <v>2020</v>
      </c>
      <c r="D53" s="3">
        <v>0</v>
      </c>
      <c r="E53" s="3">
        <v>10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  <c r="K53" s="3">
        <v>78</v>
      </c>
      <c r="L53" s="3">
        <v>30</v>
      </c>
      <c r="M53" s="3">
        <v>0</v>
      </c>
      <c r="N53" s="3">
        <v>42184655</v>
      </c>
      <c r="O53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87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42184655</v>
      </c>
      <c r="C1">
        <v>42187619</v>
      </c>
      <c r="D1">
        <v>40662784</v>
      </c>
      <c r="E1">
        <v>27</v>
      </c>
      <c r="F1">
        <v>1</v>
      </c>
      <c r="G1">
        <v>27</v>
      </c>
      <c r="H1">
        <v>1</v>
      </c>
      <c r="I1" t="s">
        <v>272</v>
      </c>
      <c r="J1" t="s">
        <v>3</v>
      </c>
      <c r="K1" t="s">
        <v>273</v>
      </c>
      <c r="L1">
        <v>1191</v>
      </c>
      <c r="N1">
        <v>1013</v>
      </c>
      <c r="O1" t="s">
        <v>274</v>
      </c>
      <c r="P1" t="s">
        <v>274</v>
      </c>
      <c r="Q1">
        <v>1</v>
      </c>
      <c r="W1">
        <v>0</v>
      </c>
      <c r="X1">
        <v>476480486</v>
      </c>
      <c r="Y1">
        <v>1.59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1.59</v>
      </c>
      <c r="AU1" t="s">
        <v>3</v>
      </c>
      <c r="AV1">
        <v>1</v>
      </c>
      <c r="AW1">
        <v>2</v>
      </c>
      <c r="AX1">
        <v>42187623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0.22538249999999999</v>
      </c>
      <c r="CY1">
        <f>AD1</f>
        <v>0</v>
      </c>
      <c r="CZ1">
        <f>AH1</f>
        <v>0</v>
      </c>
      <c r="DA1">
        <f>AL1</f>
        <v>1</v>
      </c>
      <c r="DB1">
        <f t="shared" ref="DB1:DB6" si="0">ROUND(ROUND(AT1*CZ1,2),6)</f>
        <v>0</v>
      </c>
      <c r="DC1">
        <f t="shared" ref="DC1:DC6" si="1">ROUND(ROUND(AT1*AG1,2),6)</f>
        <v>0</v>
      </c>
    </row>
    <row r="2" spans="1:107" x14ac:dyDescent="0.2">
      <c r="A2">
        <f>ROW(Source!A28)</f>
        <v>28</v>
      </c>
      <c r="B2">
        <v>42184655</v>
      </c>
      <c r="C2">
        <v>42187619</v>
      </c>
      <c r="D2">
        <v>40679275</v>
      </c>
      <c r="E2">
        <v>1</v>
      </c>
      <c r="F2">
        <v>1</v>
      </c>
      <c r="G2">
        <v>27</v>
      </c>
      <c r="H2">
        <v>2</v>
      </c>
      <c r="I2" t="s">
        <v>275</v>
      </c>
      <c r="J2" t="s">
        <v>276</v>
      </c>
      <c r="K2" t="s">
        <v>277</v>
      </c>
      <c r="L2">
        <v>1368</v>
      </c>
      <c r="N2">
        <v>1011</v>
      </c>
      <c r="O2" t="s">
        <v>278</v>
      </c>
      <c r="P2" t="s">
        <v>278</v>
      </c>
      <c r="Q2">
        <v>1</v>
      </c>
      <c r="W2">
        <v>0</v>
      </c>
      <c r="X2">
        <v>-903558812</v>
      </c>
      <c r="Y2">
        <v>4.9800000000000004</v>
      </c>
      <c r="AA2">
        <v>0</v>
      </c>
      <c r="AB2">
        <v>1493.72</v>
      </c>
      <c r="AC2">
        <v>566.86</v>
      </c>
      <c r="AD2">
        <v>0</v>
      </c>
      <c r="AE2">
        <v>0</v>
      </c>
      <c r="AF2">
        <v>1493.72</v>
      </c>
      <c r="AG2">
        <v>566.86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4.9800000000000004</v>
      </c>
      <c r="AU2" t="s">
        <v>3</v>
      </c>
      <c r="AV2">
        <v>0</v>
      </c>
      <c r="AW2">
        <v>2</v>
      </c>
      <c r="AX2">
        <v>42187624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0.70591499999999996</v>
      </c>
      <c r="CY2">
        <f>AB2</f>
        <v>1493.72</v>
      </c>
      <c r="CZ2">
        <f>AF2</f>
        <v>1493.72</v>
      </c>
      <c r="DA2">
        <f>AJ2</f>
        <v>1</v>
      </c>
      <c r="DB2">
        <f t="shared" si="0"/>
        <v>7438.73</v>
      </c>
      <c r="DC2">
        <f t="shared" si="1"/>
        <v>2822.96</v>
      </c>
    </row>
    <row r="3" spans="1:107" x14ac:dyDescent="0.2">
      <c r="A3">
        <f>ROW(Source!A28)</f>
        <v>28</v>
      </c>
      <c r="B3">
        <v>42184655</v>
      </c>
      <c r="C3">
        <v>42187619</v>
      </c>
      <c r="D3">
        <v>40679298</v>
      </c>
      <c r="E3">
        <v>1</v>
      </c>
      <c r="F3">
        <v>1</v>
      </c>
      <c r="G3">
        <v>27</v>
      </c>
      <c r="H3">
        <v>2</v>
      </c>
      <c r="I3" t="s">
        <v>279</v>
      </c>
      <c r="J3" t="s">
        <v>280</v>
      </c>
      <c r="K3" t="s">
        <v>281</v>
      </c>
      <c r="L3">
        <v>1368</v>
      </c>
      <c r="N3">
        <v>1011</v>
      </c>
      <c r="O3" t="s">
        <v>278</v>
      </c>
      <c r="P3" t="s">
        <v>278</v>
      </c>
      <c r="Q3">
        <v>1</v>
      </c>
      <c r="W3">
        <v>0</v>
      </c>
      <c r="X3">
        <v>-888973741</v>
      </c>
      <c r="Y3">
        <v>1.25</v>
      </c>
      <c r="AA3">
        <v>0</v>
      </c>
      <c r="AB3">
        <v>1072.23</v>
      </c>
      <c r="AC3">
        <v>488.73</v>
      </c>
      <c r="AD3">
        <v>0</v>
      </c>
      <c r="AE3">
        <v>0</v>
      </c>
      <c r="AF3">
        <v>1072.23</v>
      </c>
      <c r="AG3">
        <v>488.73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1.25</v>
      </c>
      <c r="AU3" t="s">
        <v>3</v>
      </c>
      <c r="AV3">
        <v>0</v>
      </c>
      <c r="AW3">
        <v>2</v>
      </c>
      <c r="AX3">
        <v>42187625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0.1771875</v>
      </c>
      <c r="CY3">
        <f>AB3</f>
        <v>1072.23</v>
      </c>
      <c r="CZ3">
        <f>AF3</f>
        <v>1072.23</v>
      </c>
      <c r="DA3">
        <f>AJ3</f>
        <v>1</v>
      </c>
      <c r="DB3">
        <f t="shared" si="0"/>
        <v>1340.29</v>
      </c>
      <c r="DC3">
        <f t="shared" si="1"/>
        <v>610.91</v>
      </c>
    </row>
    <row r="4" spans="1:107" x14ac:dyDescent="0.2">
      <c r="A4">
        <f>ROW(Source!A29)</f>
        <v>29</v>
      </c>
      <c r="B4">
        <v>42184655</v>
      </c>
      <c r="C4">
        <v>42189257</v>
      </c>
      <c r="D4">
        <v>40662784</v>
      </c>
      <c r="E4">
        <v>27</v>
      </c>
      <c r="F4">
        <v>1</v>
      </c>
      <c r="G4">
        <v>27</v>
      </c>
      <c r="H4">
        <v>1</v>
      </c>
      <c r="I4" t="s">
        <v>272</v>
      </c>
      <c r="J4" t="s">
        <v>3</v>
      </c>
      <c r="K4" t="s">
        <v>273</v>
      </c>
      <c r="L4">
        <v>1191</v>
      </c>
      <c r="N4">
        <v>1013</v>
      </c>
      <c r="O4" t="s">
        <v>274</v>
      </c>
      <c r="P4" t="s">
        <v>274</v>
      </c>
      <c r="Q4">
        <v>1</v>
      </c>
      <c r="W4">
        <v>0</v>
      </c>
      <c r="X4">
        <v>476480486</v>
      </c>
      <c r="Y4">
        <v>221.6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221.6</v>
      </c>
      <c r="AU4" t="s">
        <v>3</v>
      </c>
      <c r="AV4">
        <v>1</v>
      </c>
      <c r="AW4">
        <v>2</v>
      </c>
      <c r="AX4">
        <v>42189258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3.4901999999999997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ROW(Source!A30)</f>
        <v>30</v>
      </c>
      <c r="B5">
        <v>42184655</v>
      </c>
      <c r="C5">
        <v>42189266</v>
      </c>
      <c r="D5">
        <v>40662784</v>
      </c>
      <c r="E5">
        <v>27</v>
      </c>
      <c r="F5">
        <v>1</v>
      </c>
      <c r="G5">
        <v>27</v>
      </c>
      <c r="H5">
        <v>1</v>
      </c>
      <c r="I5" t="s">
        <v>272</v>
      </c>
      <c r="J5" t="s">
        <v>3</v>
      </c>
      <c r="K5" t="s">
        <v>273</v>
      </c>
      <c r="L5">
        <v>1191</v>
      </c>
      <c r="N5">
        <v>1013</v>
      </c>
      <c r="O5" t="s">
        <v>274</v>
      </c>
      <c r="P5" t="s">
        <v>274</v>
      </c>
      <c r="Q5">
        <v>1</v>
      </c>
      <c r="W5">
        <v>0</v>
      </c>
      <c r="X5">
        <v>476480486</v>
      </c>
      <c r="Y5">
        <v>83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83</v>
      </c>
      <c r="AU5" t="s">
        <v>3</v>
      </c>
      <c r="AV5">
        <v>1</v>
      </c>
      <c r="AW5">
        <v>2</v>
      </c>
      <c r="AX5">
        <v>42189268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0.13072500000000001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</row>
    <row r="6" spans="1:107" x14ac:dyDescent="0.2">
      <c r="A6">
        <f>ROW(Source!A31)</f>
        <v>31</v>
      </c>
      <c r="B6">
        <v>42184655</v>
      </c>
      <c r="C6">
        <v>42189269</v>
      </c>
      <c r="D6">
        <v>40680075</v>
      </c>
      <c r="E6">
        <v>1</v>
      </c>
      <c r="F6">
        <v>1</v>
      </c>
      <c r="G6">
        <v>27</v>
      </c>
      <c r="H6">
        <v>2</v>
      </c>
      <c r="I6" t="s">
        <v>282</v>
      </c>
      <c r="J6" t="s">
        <v>283</v>
      </c>
      <c r="K6" t="s">
        <v>284</v>
      </c>
      <c r="L6">
        <v>1368</v>
      </c>
      <c r="N6">
        <v>1011</v>
      </c>
      <c r="O6" t="s">
        <v>278</v>
      </c>
      <c r="P6" t="s">
        <v>278</v>
      </c>
      <c r="Q6">
        <v>1</v>
      </c>
      <c r="W6">
        <v>0</v>
      </c>
      <c r="X6">
        <v>-1786200580</v>
      </c>
      <c r="Y6">
        <v>3.1E-2</v>
      </c>
      <c r="AA6">
        <v>0</v>
      </c>
      <c r="AB6">
        <v>1014.12</v>
      </c>
      <c r="AC6">
        <v>317.13</v>
      </c>
      <c r="AD6">
        <v>0</v>
      </c>
      <c r="AE6">
        <v>0</v>
      </c>
      <c r="AF6">
        <v>1014.12</v>
      </c>
      <c r="AG6">
        <v>317.13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3.1E-2</v>
      </c>
      <c r="AU6" t="s">
        <v>3</v>
      </c>
      <c r="AV6">
        <v>0</v>
      </c>
      <c r="AW6">
        <v>2</v>
      </c>
      <c r="AX6">
        <v>42189271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Y6*Source!I31</f>
        <v>0.48825000000000002</v>
      </c>
      <c r="CY6">
        <f>AB6</f>
        <v>1014.12</v>
      </c>
      <c r="CZ6">
        <f>AF6</f>
        <v>1014.12</v>
      </c>
      <c r="DA6">
        <f>AJ6</f>
        <v>1</v>
      </c>
      <c r="DB6">
        <f t="shared" si="0"/>
        <v>31.44</v>
      </c>
      <c r="DC6">
        <f t="shared" si="1"/>
        <v>9.83</v>
      </c>
    </row>
    <row r="7" spans="1:107" x14ac:dyDescent="0.2">
      <c r="A7">
        <f>ROW(Source!A32)</f>
        <v>32</v>
      </c>
      <c r="B7">
        <v>42184655</v>
      </c>
      <c r="C7">
        <v>42187635</v>
      </c>
      <c r="D7">
        <v>40680075</v>
      </c>
      <c r="E7">
        <v>1</v>
      </c>
      <c r="F7">
        <v>1</v>
      </c>
      <c r="G7">
        <v>27</v>
      </c>
      <c r="H7">
        <v>2</v>
      </c>
      <c r="I7" t="s">
        <v>282</v>
      </c>
      <c r="J7" t="s">
        <v>283</v>
      </c>
      <c r="K7" t="s">
        <v>284</v>
      </c>
      <c r="L7">
        <v>1368</v>
      </c>
      <c r="N7">
        <v>1011</v>
      </c>
      <c r="O7" t="s">
        <v>278</v>
      </c>
      <c r="P7" t="s">
        <v>278</v>
      </c>
      <c r="Q7">
        <v>1</v>
      </c>
      <c r="W7">
        <v>0</v>
      </c>
      <c r="X7">
        <v>-1786200580</v>
      </c>
      <c r="Y7">
        <v>0.54</v>
      </c>
      <c r="AA7">
        <v>0</v>
      </c>
      <c r="AB7">
        <v>1014.12</v>
      </c>
      <c r="AC7">
        <v>317.13</v>
      </c>
      <c r="AD7">
        <v>0</v>
      </c>
      <c r="AE7">
        <v>0</v>
      </c>
      <c r="AF7">
        <v>1014.12</v>
      </c>
      <c r="AG7">
        <v>317.13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0.01</v>
      </c>
      <c r="AU7" t="s">
        <v>45</v>
      </c>
      <c r="AV7">
        <v>0</v>
      </c>
      <c r="AW7">
        <v>2</v>
      </c>
      <c r="AX7">
        <v>42187637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8.5050000000000008</v>
      </c>
      <c r="CY7">
        <f>AB7</f>
        <v>1014.12</v>
      </c>
      <c r="CZ7">
        <f>AF7</f>
        <v>1014.12</v>
      </c>
      <c r="DA7">
        <f>AJ7</f>
        <v>1</v>
      </c>
      <c r="DB7">
        <f>ROUND((ROUND(AT7*CZ7,2)*54),6)</f>
        <v>547.55999999999995</v>
      </c>
      <c r="DC7">
        <f>ROUND((ROUND(AT7*AG7,2)*54),6)</f>
        <v>171.18</v>
      </c>
    </row>
    <row r="8" spans="1:107" x14ac:dyDescent="0.2">
      <c r="A8">
        <f>ROW(Source!A34)</f>
        <v>34</v>
      </c>
      <c r="B8">
        <v>42184655</v>
      </c>
      <c r="C8">
        <v>42319092</v>
      </c>
      <c r="D8">
        <v>40662784</v>
      </c>
      <c r="E8">
        <v>27</v>
      </c>
      <c r="F8">
        <v>1</v>
      </c>
      <c r="G8">
        <v>27</v>
      </c>
      <c r="H8">
        <v>1</v>
      </c>
      <c r="I8" t="s">
        <v>272</v>
      </c>
      <c r="J8" t="s">
        <v>3</v>
      </c>
      <c r="K8" t="s">
        <v>273</v>
      </c>
      <c r="L8">
        <v>1191</v>
      </c>
      <c r="N8">
        <v>1013</v>
      </c>
      <c r="O8" t="s">
        <v>274</v>
      </c>
      <c r="P8" t="s">
        <v>274</v>
      </c>
      <c r="Q8">
        <v>1</v>
      </c>
      <c r="W8">
        <v>0</v>
      </c>
      <c r="X8">
        <v>476480486</v>
      </c>
      <c r="Y8">
        <v>16.559999999999999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16.559999999999999</v>
      </c>
      <c r="AU8" t="s">
        <v>3</v>
      </c>
      <c r="AV8">
        <v>1</v>
      </c>
      <c r="AW8">
        <v>2</v>
      </c>
      <c r="AX8">
        <v>42319101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Y8*Source!I34</f>
        <v>1.1592</v>
      </c>
      <c r="CY8">
        <f>AD8</f>
        <v>0</v>
      </c>
      <c r="CZ8">
        <f>AH8</f>
        <v>0</v>
      </c>
      <c r="DA8">
        <f>AL8</f>
        <v>1</v>
      </c>
      <c r="DB8">
        <f t="shared" ref="DB8:DB35" si="2">ROUND(ROUND(AT8*CZ8,2),6)</f>
        <v>0</v>
      </c>
      <c r="DC8">
        <f t="shared" ref="DC8:DC35" si="3">ROUND(ROUND(AT8*AG8,2),6)</f>
        <v>0</v>
      </c>
    </row>
    <row r="9" spans="1:107" x14ac:dyDescent="0.2">
      <c r="A9">
        <f>ROW(Source!A34)</f>
        <v>34</v>
      </c>
      <c r="B9">
        <v>42184655</v>
      </c>
      <c r="C9">
        <v>42319092</v>
      </c>
      <c r="D9">
        <v>40679320</v>
      </c>
      <c r="E9">
        <v>1</v>
      </c>
      <c r="F9">
        <v>1</v>
      </c>
      <c r="G9">
        <v>27</v>
      </c>
      <c r="H9">
        <v>2</v>
      </c>
      <c r="I9" t="s">
        <v>285</v>
      </c>
      <c r="J9" t="s">
        <v>286</v>
      </c>
      <c r="K9" t="s">
        <v>287</v>
      </c>
      <c r="L9">
        <v>1368</v>
      </c>
      <c r="N9">
        <v>1011</v>
      </c>
      <c r="O9" t="s">
        <v>278</v>
      </c>
      <c r="P9" t="s">
        <v>278</v>
      </c>
      <c r="Q9">
        <v>1</v>
      </c>
      <c r="W9">
        <v>0</v>
      </c>
      <c r="X9">
        <v>-714750861</v>
      </c>
      <c r="Y9">
        <v>2.08</v>
      </c>
      <c r="AA9">
        <v>0</v>
      </c>
      <c r="AB9">
        <v>740.94</v>
      </c>
      <c r="AC9">
        <v>413.22</v>
      </c>
      <c r="AD9">
        <v>0</v>
      </c>
      <c r="AE9">
        <v>0</v>
      </c>
      <c r="AF9">
        <v>740.94</v>
      </c>
      <c r="AG9">
        <v>413.22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2.08</v>
      </c>
      <c r="AU9" t="s">
        <v>3</v>
      </c>
      <c r="AV9">
        <v>0</v>
      </c>
      <c r="AW9">
        <v>2</v>
      </c>
      <c r="AX9">
        <v>42319102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Y9*Source!I34</f>
        <v>0.14560000000000001</v>
      </c>
      <c r="CY9">
        <f>AB9</f>
        <v>740.94</v>
      </c>
      <c r="CZ9">
        <f>AF9</f>
        <v>740.94</v>
      </c>
      <c r="DA9">
        <f>AJ9</f>
        <v>1</v>
      </c>
      <c r="DB9">
        <f t="shared" si="2"/>
        <v>1541.16</v>
      </c>
      <c r="DC9">
        <f t="shared" si="3"/>
        <v>859.5</v>
      </c>
    </row>
    <row r="10" spans="1:107" x14ac:dyDescent="0.2">
      <c r="A10">
        <f>ROW(Source!A34)</f>
        <v>34</v>
      </c>
      <c r="B10">
        <v>42184655</v>
      </c>
      <c r="C10">
        <v>42319092</v>
      </c>
      <c r="D10">
        <v>40679475</v>
      </c>
      <c r="E10">
        <v>1</v>
      </c>
      <c r="F10">
        <v>1</v>
      </c>
      <c r="G10">
        <v>27</v>
      </c>
      <c r="H10">
        <v>2</v>
      </c>
      <c r="I10" t="s">
        <v>288</v>
      </c>
      <c r="J10" t="s">
        <v>289</v>
      </c>
      <c r="K10" t="s">
        <v>290</v>
      </c>
      <c r="L10">
        <v>1368</v>
      </c>
      <c r="N10">
        <v>1011</v>
      </c>
      <c r="O10" t="s">
        <v>278</v>
      </c>
      <c r="P10" t="s">
        <v>278</v>
      </c>
      <c r="Q10">
        <v>1</v>
      </c>
      <c r="W10">
        <v>0</v>
      </c>
      <c r="X10">
        <v>1985690002</v>
      </c>
      <c r="Y10">
        <v>2.08</v>
      </c>
      <c r="AA10">
        <v>0</v>
      </c>
      <c r="AB10">
        <v>430.32</v>
      </c>
      <c r="AC10">
        <v>215.31</v>
      </c>
      <c r="AD10">
        <v>0</v>
      </c>
      <c r="AE10">
        <v>0</v>
      </c>
      <c r="AF10">
        <v>430.32</v>
      </c>
      <c r="AG10">
        <v>215.31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2.08</v>
      </c>
      <c r="AU10" t="s">
        <v>3</v>
      </c>
      <c r="AV10">
        <v>0</v>
      </c>
      <c r="AW10">
        <v>2</v>
      </c>
      <c r="AX10">
        <v>42319103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Y10*Source!I34</f>
        <v>0.14560000000000001</v>
      </c>
      <c r="CY10">
        <f>AB10</f>
        <v>430.32</v>
      </c>
      <c r="CZ10">
        <f>AF10</f>
        <v>430.32</v>
      </c>
      <c r="DA10">
        <f>AJ10</f>
        <v>1</v>
      </c>
      <c r="DB10">
        <f t="shared" si="2"/>
        <v>895.07</v>
      </c>
      <c r="DC10">
        <f t="shared" si="3"/>
        <v>447.84</v>
      </c>
    </row>
    <row r="11" spans="1:107" x14ac:dyDescent="0.2">
      <c r="A11">
        <f>ROW(Source!A34)</f>
        <v>34</v>
      </c>
      <c r="B11">
        <v>42184655</v>
      </c>
      <c r="C11">
        <v>42319092</v>
      </c>
      <c r="D11">
        <v>40679478</v>
      </c>
      <c r="E11">
        <v>1</v>
      </c>
      <c r="F11">
        <v>1</v>
      </c>
      <c r="G11">
        <v>27</v>
      </c>
      <c r="H11">
        <v>2</v>
      </c>
      <c r="I11" t="s">
        <v>291</v>
      </c>
      <c r="J11" t="s">
        <v>292</v>
      </c>
      <c r="K11" t="s">
        <v>293</v>
      </c>
      <c r="L11">
        <v>1368</v>
      </c>
      <c r="N11">
        <v>1011</v>
      </c>
      <c r="O11" t="s">
        <v>278</v>
      </c>
      <c r="P11" t="s">
        <v>278</v>
      </c>
      <c r="Q11">
        <v>1</v>
      </c>
      <c r="W11">
        <v>0</v>
      </c>
      <c r="X11">
        <v>351519474</v>
      </c>
      <c r="Y11">
        <v>0.81</v>
      </c>
      <c r="AA11">
        <v>0</v>
      </c>
      <c r="AB11">
        <v>2020.59</v>
      </c>
      <c r="AC11">
        <v>458.56</v>
      </c>
      <c r="AD11">
        <v>0</v>
      </c>
      <c r="AE11">
        <v>0</v>
      </c>
      <c r="AF11">
        <v>2020.59</v>
      </c>
      <c r="AG11">
        <v>458.56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0.81</v>
      </c>
      <c r="AU11" t="s">
        <v>3</v>
      </c>
      <c r="AV11">
        <v>0</v>
      </c>
      <c r="AW11">
        <v>2</v>
      </c>
      <c r="AX11">
        <v>42319104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Y11*Source!I34</f>
        <v>5.6700000000000007E-2</v>
      </c>
      <c r="CY11">
        <f>AB11</f>
        <v>2020.59</v>
      </c>
      <c r="CZ11">
        <f>AF11</f>
        <v>2020.59</v>
      </c>
      <c r="DA11">
        <f>AJ11</f>
        <v>1</v>
      </c>
      <c r="DB11">
        <f t="shared" si="2"/>
        <v>1636.68</v>
      </c>
      <c r="DC11">
        <f t="shared" si="3"/>
        <v>371.43</v>
      </c>
    </row>
    <row r="12" spans="1:107" x14ac:dyDescent="0.2">
      <c r="A12">
        <f>ROW(Source!A34)</f>
        <v>34</v>
      </c>
      <c r="B12">
        <v>42184655</v>
      </c>
      <c r="C12">
        <v>42319092</v>
      </c>
      <c r="D12">
        <v>40679502</v>
      </c>
      <c r="E12">
        <v>1</v>
      </c>
      <c r="F12">
        <v>1</v>
      </c>
      <c r="G12">
        <v>27</v>
      </c>
      <c r="H12">
        <v>2</v>
      </c>
      <c r="I12" t="s">
        <v>294</v>
      </c>
      <c r="J12" t="s">
        <v>295</v>
      </c>
      <c r="K12" t="s">
        <v>296</v>
      </c>
      <c r="L12">
        <v>1368</v>
      </c>
      <c r="N12">
        <v>1011</v>
      </c>
      <c r="O12" t="s">
        <v>278</v>
      </c>
      <c r="P12" t="s">
        <v>278</v>
      </c>
      <c r="Q12">
        <v>1</v>
      </c>
      <c r="W12">
        <v>0</v>
      </c>
      <c r="X12">
        <v>41279402</v>
      </c>
      <c r="Y12">
        <v>1.94</v>
      </c>
      <c r="AA12">
        <v>0</v>
      </c>
      <c r="AB12">
        <v>1412.71</v>
      </c>
      <c r="AC12">
        <v>641.32000000000005</v>
      </c>
      <c r="AD12">
        <v>0</v>
      </c>
      <c r="AE12">
        <v>0</v>
      </c>
      <c r="AF12">
        <v>1412.71</v>
      </c>
      <c r="AG12">
        <v>641.32000000000005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1.94</v>
      </c>
      <c r="AU12" t="s">
        <v>3</v>
      </c>
      <c r="AV12">
        <v>0</v>
      </c>
      <c r="AW12">
        <v>2</v>
      </c>
      <c r="AX12">
        <v>42319105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Y12*Source!I34</f>
        <v>0.1358</v>
      </c>
      <c r="CY12">
        <f>AB12</f>
        <v>1412.71</v>
      </c>
      <c r="CZ12">
        <f>AF12</f>
        <v>1412.71</v>
      </c>
      <c r="DA12">
        <f>AJ12</f>
        <v>1</v>
      </c>
      <c r="DB12">
        <f t="shared" si="2"/>
        <v>2740.66</v>
      </c>
      <c r="DC12">
        <f t="shared" si="3"/>
        <v>1244.1600000000001</v>
      </c>
    </row>
    <row r="13" spans="1:107" x14ac:dyDescent="0.2">
      <c r="A13">
        <f>ROW(Source!A34)</f>
        <v>34</v>
      </c>
      <c r="B13">
        <v>42184655</v>
      </c>
      <c r="C13">
        <v>42319092</v>
      </c>
      <c r="D13">
        <v>40679468</v>
      </c>
      <c r="E13">
        <v>1</v>
      </c>
      <c r="F13">
        <v>1</v>
      </c>
      <c r="G13">
        <v>27</v>
      </c>
      <c r="H13">
        <v>2</v>
      </c>
      <c r="I13" t="s">
        <v>297</v>
      </c>
      <c r="J13" t="s">
        <v>298</v>
      </c>
      <c r="K13" t="s">
        <v>299</v>
      </c>
      <c r="L13">
        <v>1368</v>
      </c>
      <c r="N13">
        <v>1011</v>
      </c>
      <c r="O13" t="s">
        <v>278</v>
      </c>
      <c r="P13" t="s">
        <v>278</v>
      </c>
      <c r="Q13">
        <v>1</v>
      </c>
      <c r="W13">
        <v>0</v>
      </c>
      <c r="X13">
        <v>-1991511797</v>
      </c>
      <c r="Y13">
        <v>0.65</v>
      </c>
      <c r="AA13">
        <v>0</v>
      </c>
      <c r="AB13">
        <v>1213.3399999999999</v>
      </c>
      <c r="AC13">
        <v>461.6</v>
      </c>
      <c r="AD13">
        <v>0</v>
      </c>
      <c r="AE13">
        <v>0</v>
      </c>
      <c r="AF13">
        <v>1213.3399999999999</v>
      </c>
      <c r="AG13">
        <v>461.6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0.65</v>
      </c>
      <c r="AU13" t="s">
        <v>3</v>
      </c>
      <c r="AV13">
        <v>0</v>
      </c>
      <c r="AW13">
        <v>2</v>
      </c>
      <c r="AX13">
        <v>42319106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4.5500000000000006E-2</v>
      </c>
      <c r="CY13">
        <f>AB13</f>
        <v>1213.3399999999999</v>
      </c>
      <c r="CZ13">
        <f>AF13</f>
        <v>1213.3399999999999</v>
      </c>
      <c r="DA13">
        <f>AJ13</f>
        <v>1</v>
      </c>
      <c r="DB13">
        <f t="shared" si="2"/>
        <v>788.67</v>
      </c>
      <c r="DC13">
        <f t="shared" si="3"/>
        <v>300.04000000000002</v>
      </c>
    </row>
    <row r="14" spans="1:107" x14ac:dyDescent="0.2">
      <c r="A14">
        <f>ROW(Source!A34)</f>
        <v>34</v>
      </c>
      <c r="B14">
        <v>42184655</v>
      </c>
      <c r="C14">
        <v>42319092</v>
      </c>
      <c r="D14">
        <v>40681431</v>
      </c>
      <c r="E14">
        <v>1</v>
      </c>
      <c r="F14">
        <v>1</v>
      </c>
      <c r="G14">
        <v>27</v>
      </c>
      <c r="H14">
        <v>3</v>
      </c>
      <c r="I14" t="s">
        <v>300</v>
      </c>
      <c r="J14" t="s">
        <v>301</v>
      </c>
      <c r="K14" t="s">
        <v>302</v>
      </c>
      <c r="L14">
        <v>1339</v>
      </c>
      <c r="N14">
        <v>1007</v>
      </c>
      <c r="O14" t="s">
        <v>38</v>
      </c>
      <c r="P14" t="s">
        <v>38</v>
      </c>
      <c r="Q14">
        <v>1</v>
      </c>
      <c r="W14">
        <v>0</v>
      </c>
      <c r="X14">
        <v>-840107338</v>
      </c>
      <c r="Y14">
        <v>110</v>
      </c>
      <c r="AA14">
        <v>590.78</v>
      </c>
      <c r="AB14">
        <v>0</v>
      </c>
      <c r="AC14">
        <v>0</v>
      </c>
      <c r="AD14">
        <v>0</v>
      </c>
      <c r="AE14">
        <v>590.78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110</v>
      </c>
      <c r="AU14" t="s">
        <v>3</v>
      </c>
      <c r="AV14">
        <v>0</v>
      </c>
      <c r="AW14">
        <v>2</v>
      </c>
      <c r="AX14">
        <v>42319107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7.7000000000000011</v>
      </c>
      <c r="CY14">
        <f>AA14</f>
        <v>590.78</v>
      </c>
      <c r="CZ14">
        <f>AE14</f>
        <v>590.78</v>
      </c>
      <c r="DA14">
        <f>AI14</f>
        <v>1</v>
      </c>
      <c r="DB14">
        <f t="shared" si="2"/>
        <v>64985.8</v>
      </c>
      <c r="DC14">
        <f t="shared" si="3"/>
        <v>0</v>
      </c>
    </row>
    <row r="15" spans="1:107" x14ac:dyDescent="0.2">
      <c r="A15">
        <f>ROW(Source!A34)</f>
        <v>34</v>
      </c>
      <c r="B15">
        <v>42184655</v>
      </c>
      <c r="C15">
        <v>42319092</v>
      </c>
      <c r="D15">
        <v>40682177</v>
      </c>
      <c r="E15">
        <v>1</v>
      </c>
      <c r="F15">
        <v>1</v>
      </c>
      <c r="G15">
        <v>27</v>
      </c>
      <c r="H15">
        <v>3</v>
      </c>
      <c r="I15" t="s">
        <v>303</v>
      </c>
      <c r="J15" t="s">
        <v>304</v>
      </c>
      <c r="K15" t="s">
        <v>305</v>
      </c>
      <c r="L15">
        <v>1339</v>
      </c>
      <c r="N15">
        <v>1007</v>
      </c>
      <c r="O15" t="s">
        <v>38</v>
      </c>
      <c r="P15" t="s">
        <v>38</v>
      </c>
      <c r="Q15">
        <v>1</v>
      </c>
      <c r="W15">
        <v>0</v>
      </c>
      <c r="X15">
        <v>2028445372</v>
      </c>
      <c r="Y15">
        <v>5</v>
      </c>
      <c r="AA15">
        <v>35.25</v>
      </c>
      <c r="AB15">
        <v>0</v>
      </c>
      <c r="AC15">
        <v>0</v>
      </c>
      <c r="AD15">
        <v>0</v>
      </c>
      <c r="AE15">
        <v>35.25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5</v>
      </c>
      <c r="AU15" t="s">
        <v>3</v>
      </c>
      <c r="AV15">
        <v>0</v>
      </c>
      <c r="AW15">
        <v>2</v>
      </c>
      <c r="AX15">
        <v>42319108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0.35000000000000003</v>
      </c>
      <c r="CY15">
        <f>AA15</f>
        <v>35.25</v>
      </c>
      <c r="CZ15">
        <f>AE15</f>
        <v>35.25</v>
      </c>
      <c r="DA15">
        <f>AI15</f>
        <v>1</v>
      </c>
      <c r="DB15">
        <f t="shared" si="2"/>
        <v>176.25</v>
      </c>
      <c r="DC15">
        <f t="shared" si="3"/>
        <v>0</v>
      </c>
    </row>
    <row r="16" spans="1:107" x14ac:dyDescent="0.2">
      <c r="A16">
        <f>ROW(Source!A35)</f>
        <v>35</v>
      </c>
      <c r="B16">
        <v>42184655</v>
      </c>
      <c r="C16">
        <v>42187655</v>
      </c>
      <c r="D16">
        <v>40662784</v>
      </c>
      <c r="E16">
        <v>27</v>
      </c>
      <c r="F16">
        <v>1</v>
      </c>
      <c r="G16">
        <v>27</v>
      </c>
      <c r="H16">
        <v>1</v>
      </c>
      <c r="I16" t="s">
        <v>272</v>
      </c>
      <c r="J16" t="s">
        <v>3</v>
      </c>
      <c r="K16" t="s">
        <v>273</v>
      </c>
      <c r="L16">
        <v>1191</v>
      </c>
      <c r="N16">
        <v>1013</v>
      </c>
      <c r="O16" t="s">
        <v>274</v>
      </c>
      <c r="P16" t="s">
        <v>274</v>
      </c>
      <c r="Q16">
        <v>1</v>
      </c>
      <c r="W16">
        <v>0</v>
      </c>
      <c r="X16">
        <v>476480486</v>
      </c>
      <c r="Y16">
        <v>24.84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24.84</v>
      </c>
      <c r="AU16" t="s">
        <v>3</v>
      </c>
      <c r="AV16">
        <v>1</v>
      </c>
      <c r="AW16">
        <v>2</v>
      </c>
      <c r="AX16">
        <v>42187665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Y16*Source!I35</f>
        <v>1.7388000000000001</v>
      </c>
      <c r="CY16">
        <f>AD16</f>
        <v>0</v>
      </c>
      <c r="CZ16">
        <f>AH16</f>
        <v>0</v>
      </c>
      <c r="DA16">
        <f>AL16</f>
        <v>1</v>
      </c>
      <c r="DB16">
        <f t="shared" si="2"/>
        <v>0</v>
      </c>
      <c r="DC16">
        <f t="shared" si="3"/>
        <v>0</v>
      </c>
    </row>
    <row r="17" spans="1:107" x14ac:dyDescent="0.2">
      <c r="A17">
        <f>ROW(Source!A35)</f>
        <v>35</v>
      </c>
      <c r="B17">
        <v>42184655</v>
      </c>
      <c r="C17">
        <v>42187655</v>
      </c>
      <c r="D17">
        <v>40679297</v>
      </c>
      <c r="E17">
        <v>1</v>
      </c>
      <c r="F17">
        <v>1</v>
      </c>
      <c r="G17">
        <v>27</v>
      </c>
      <c r="H17">
        <v>2</v>
      </c>
      <c r="I17" t="s">
        <v>306</v>
      </c>
      <c r="J17" t="s">
        <v>307</v>
      </c>
      <c r="K17" t="s">
        <v>308</v>
      </c>
      <c r="L17">
        <v>1368</v>
      </c>
      <c r="N17">
        <v>1011</v>
      </c>
      <c r="O17" t="s">
        <v>278</v>
      </c>
      <c r="P17" t="s">
        <v>278</v>
      </c>
      <c r="Q17">
        <v>1</v>
      </c>
      <c r="W17">
        <v>0</v>
      </c>
      <c r="X17">
        <v>974897901</v>
      </c>
      <c r="Y17">
        <v>2.94</v>
      </c>
      <c r="AA17">
        <v>0</v>
      </c>
      <c r="AB17">
        <v>956.79</v>
      </c>
      <c r="AC17">
        <v>359.44</v>
      </c>
      <c r="AD17">
        <v>0</v>
      </c>
      <c r="AE17">
        <v>0</v>
      </c>
      <c r="AF17">
        <v>956.79</v>
      </c>
      <c r="AG17">
        <v>359.44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2.94</v>
      </c>
      <c r="AU17" t="s">
        <v>3</v>
      </c>
      <c r="AV17">
        <v>0</v>
      </c>
      <c r="AW17">
        <v>2</v>
      </c>
      <c r="AX17">
        <v>42187666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Y17*Source!I35</f>
        <v>0.20580000000000001</v>
      </c>
      <c r="CY17">
        <f t="shared" ref="CY17:CY22" si="4">AB17</f>
        <v>956.79</v>
      </c>
      <c r="CZ17">
        <f t="shared" ref="CZ17:CZ22" si="5">AF17</f>
        <v>956.79</v>
      </c>
      <c r="DA17">
        <f t="shared" ref="DA17:DA22" si="6">AJ17</f>
        <v>1</v>
      </c>
      <c r="DB17">
        <f t="shared" si="2"/>
        <v>2812.96</v>
      </c>
      <c r="DC17">
        <f t="shared" si="3"/>
        <v>1056.75</v>
      </c>
    </row>
    <row r="18" spans="1:107" x14ac:dyDescent="0.2">
      <c r="A18">
        <f>ROW(Source!A35)</f>
        <v>35</v>
      </c>
      <c r="B18">
        <v>42184655</v>
      </c>
      <c r="C18">
        <v>42187655</v>
      </c>
      <c r="D18">
        <v>40679478</v>
      </c>
      <c r="E18">
        <v>1</v>
      </c>
      <c r="F18">
        <v>1</v>
      </c>
      <c r="G18">
        <v>27</v>
      </c>
      <c r="H18">
        <v>2</v>
      </c>
      <c r="I18" t="s">
        <v>291</v>
      </c>
      <c r="J18" t="s">
        <v>292</v>
      </c>
      <c r="K18" t="s">
        <v>293</v>
      </c>
      <c r="L18">
        <v>1368</v>
      </c>
      <c r="N18">
        <v>1011</v>
      </c>
      <c r="O18" t="s">
        <v>278</v>
      </c>
      <c r="P18" t="s">
        <v>278</v>
      </c>
      <c r="Q18">
        <v>1</v>
      </c>
      <c r="W18">
        <v>0</v>
      </c>
      <c r="X18">
        <v>351519474</v>
      </c>
      <c r="Y18">
        <v>1.1399999999999999</v>
      </c>
      <c r="AA18">
        <v>0</v>
      </c>
      <c r="AB18">
        <v>2020.59</v>
      </c>
      <c r="AC18">
        <v>458.56</v>
      </c>
      <c r="AD18">
        <v>0</v>
      </c>
      <c r="AE18">
        <v>0</v>
      </c>
      <c r="AF18">
        <v>2020.59</v>
      </c>
      <c r="AG18">
        <v>458.56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1.1399999999999999</v>
      </c>
      <c r="AU18" t="s">
        <v>3</v>
      </c>
      <c r="AV18">
        <v>0</v>
      </c>
      <c r="AW18">
        <v>2</v>
      </c>
      <c r="AX18">
        <v>42187667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7.9799999999999996E-2</v>
      </c>
      <c r="CY18">
        <f t="shared" si="4"/>
        <v>2020.59</v>
      </c>
      <c r="CZ18">
        <f t="shared" si="5"/>
        <v>2020.59</v>
      </c>
      <c r="DA18">
        <f t="shared" si="6"/>
        <v>1</v>
      </c>
      <c r="DB18">
        <f t="shared" si="2"/>
        <v>2303.4699999999998</v>
      </c>
      <c r="DC18">
        <f t="shared" si="3"/>
        <v>522.76</v>
      </c>
    </row>
    <row r="19" spans="1:107" x14ac:dyDescent="0.2">
      <c r="A19">
        <f>ROW(Source!A35)</f>
        <v>35</v>
      </c>
      <c r="B19">
        <v>42184655</v>
      </c>
      <c r="C19">
        <v>42187655</v>
      </c>
      <c r="D19">
        <v>40679463</v>
      </c>
      <c r="E19">
        <v>1</v>
      </c>
      <c r="F19">
        <v>1</v>
      </c>
      <c r="G19">
        <v>27</v>
      </c>
      <c r="H19">
        <v>2</v>
      </c>
      <c r="I19" t="s">
        <v>309</v>
      </c>
      <c r="J19" t="s">
        <v>310</v>
      </c>
      <c r="K19" t="s">
        <v>311</v>
      </c>
      <c r="L19">
        <v>1368</v>
      </c>
      <c r="N19">
        <v>1011</v>
      </c>
      <c r="O19" t="s">
        <v>278</v>
      </c>
      <c r="P19" t="s">
        <v>278</v>
      </c>
      <c r="Q19">
        <v>1</v>
      </c>
      <c r="W19">
        <v>0</v>
      </c>
      <c r="X19">
        <v>-1930120489</v>
      </c>
      <c r="Y19">
        <v>8.9600000000000009</v>
      </c>
      <c r="AA19">
        <v>0</v>
      </c>
      <c r="AB19">
        <v>1261.8699999999999</v>
      </c>
      <c r="AC19">
        <v>530.02</v>
      </c>
      <c r="AD19">
        <v>0</v>
      </c>
      <c r="AE19">
        <v>0</v>
      </c>
      <c r="AF19">
        <v>1261.8699999999999</v>
      </c>
      <c r="AG19">
        <v>530.02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8.9600000000000009</v>
      </c>
      <c r="AU19" t="s">
        <v>3</v>
      </c>
      <c r="AV19">
        <v>0</v>
      </c>
      <c r="AW19">
        <v>2</v>
      </c>
      <c r="AX19">
        <v>42187668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0.62720000000000009</v>
      </c>
      <c r="CY19">
        <f t="shared" si="4"/>
        <v>1261.8699999999999</v>
      </c>
      <c r="CZ19">
        <f t="shared" si="5"/>
        <v>1261.8699999999999</v>
      </c>
      <c r="DA19">
        <f t="shared" si="6"/>
        <v>1</v>
      </c>
      <c r="DB19">
        <f t="shared" si="2"/>
        <v>11306.36</v>
      </c>
      <c r="DC19">
        <f t="shared" si="3"/>
        <v>4748.9799999999996</v>
      </c>
    </row>
    <row r="20" spans="1:107" x14ac:dyDescent="0.2">
      <c r="A20">
        <f>ROW(Source!A35)</f>
        <v>35</v>
      </c>
      <c r="B20">
        <v>42184655</v>
      </c>
      <c r="C20">
        <v>42187655</v>
      </c>
      <c r="D20">
        <v>40679464</v>
      </c>
      <c r="E20">
        <v>1</v>
      </c>
      <c r="F20">
        <v>1</v>
      </c>
      <c r="G20">
        <v>27</v>
      </c>
      <c r="H20">
        <v>2</v>
      </c>
      <c r="I20" t="s">
        <v>312</v>
      </c>
      <c r="J20" t="s">
        <v>313</v>
      </c>
      <c r="K20" t="s">
        <v>314</v>
      </c>
      <c r="L20">
        <v>1368</v>
      </c>
      <c r="N20">
        <v>1011</v>
      </c>
      <c r="O20" t="s">
        <v>278</v>
      </c>
      <c r="P20" t="s">
        <v>278</v>
      </c>
      <c r="Q20">
        <v>1</v>
      </c>
      <c r="W20">
        <v>0</v>
      </c>
      <c r="X20">
        <v>1869206802</v>
      </c>
      <c r="Y20">
        <v>18.25</v>
      </c>
      <c r="AA20">
        <v>0</v>
      </c>
      <c r="AB20">
        <v>1827.95</v>
      </c>
      <c r="AC20">
        <v>720.55</v>
      </c>
      <c r="AD20">
        <v>0</v>
      </c>
      <c r="AE20">
        <v>0</v>
      </c>
      <c r="AF20">
        <v>1827.95</v>
      </c>
      <c r="AG20">
        <v>720.55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18.25</v>
      </c>
      <c r="AU20" t="s">
        <v>3</v>
      </c>
      <c r="AV20">
        <v>0</v>
      </c>
      <c r="AW20">
        <v>2</v>
      </c>
      <c r="AX20">
        <v>42187669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1.2775000000000001</v>
      </c>
      <c r="CY20">
        <f t="shared" si="4"/>
        <v>1827.95</v>
      </c>
      <c r="CZ20">
        <f t="shared" si="5"/>
        <v>1827.95</v>
      </c>
      <c r="DA20">
        <f t="shared" si="6"/>
        <v>1</v>
      </c>
      <c r="DB20">
        <f t="shared" si="2"/>
        <v>33360.089999999997</v>
      </c>
      <c r="DC20">
        <f t="shared" si="3"/>
        <v>13150.04</v>
      </c>
    </row>
    <row r="21" spans="1:107" x14ac:dyDescent="0.2">
      <c r="A21">
        <f>ROW(Source!A35)</f>
        <v>35</v>
      </c>
      <c r="B21">
        <v>42184655</v>
      </c>
      <c r="C21">
        <v>42187655</v>
      </c>
      <c r="D21">
        <v>40679502</v>
      </c>
      <c r="E21">
        <v>1</v>
      </c>
      <c r="F21">
        <v>1</v>
      </c>
      <c r="G21">
        <v>27</v>
      </c>
      <c r="H21">
        <v>2</v>
      </c>
      <c r="I21" t="s">
        <v>294</v>
      </c>
      <c r="J21" t="s">
        <v>295</v>
      </c>
      <c r="K21" t="s">
        <v>296</v>
      </c>
      <c r="L21">
        <v>1368</v>
      </c>
      <c r="N21">
        <v>1011</v>
      </c>
      <c r="O21" t="s">
        <v>278</v>
      </c>
      <c r="P21" t="s">
        <v>278</v>
      </c>
      <c r="Q21">
        <v>1</v>
      </c>
      <c r="W21">
        <v>0</v>
      </c>
      <c r="X21">
        <v>41279402</v>
      </c>
      <c r="Y21">
        <v>2.2400000000000002</v>
      </c>
      <c r="AA21">
        <v>0</v>
      </c>
      <c r="AB21">
        <v>1412.71</v>
      </c>
      <c r="AC21">
        <v>641.32000000000005</v>
      </c>
      <c r="AD21">
        <v>0</v>
      </c>
      <c r="AE21">
        <v>0</v>
      </c>
      <c r="AF21">
        <v>1412.71</v>
      </c>
      <c r="AG21">
        <v>641.32000000000005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2.2400000000000002</v>
      </c>
      <c r="AU21" t="s">
        <v>3</v>
      </c>
      <c r="AV21">
        <v>0</v>
      </c>
      <c r="AW21">
        <v>2</v>
      </c>
      <c r="AX21">
        <v>42187670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Y21*Source!I35</f>
        <v>0.15680000000000002</v>
      </c>
      <c r="CY21">
        <f t="shared" si="4"/>
        <v>1412.71</v>
      </c>
      <c r="CZ21">
        <f t="shared" si="5"/>
        <v>1412.71</v>
      </c>
      <c r="DA21">
        <f t="shared" si="6"/>
        <v>1</v>
      </c>
      <c r="DB21">
        <f t="shared" si="2"/>
        <v>3164.47</v>
      </c>
      <c r="DC21">
        <f t="shared" si="3"/>
        <v>1436.56</v>
      </c>
    </row>
    <row r="22" spans="1:107" x14ac:dyDescent="0.2">
      <c r="A22">
        <f>ROW(Source!A35)</f>
        <v>35</v>
      </c>
      <c r="B22">
        <v>42184655</v>
      </c>
      <c r="C22">
        <v>42187655</v>
      </c>
      <c r="D22">
        <v>40679468</v>
      </c>
      <c r="E22">
        <v>1</v>
      </c>
      <c r="F22">
        <v>1</v>
      </c>
      <c r="G22">
        <v>27</v>
      </c>
      <c r="H22">
        <v>2</v>
      </c>
      <c r="I22" t="s">
        <v>297</v>
      </c>
      <c r="J22" t="s">
        <v>298</v>
      </c>
      <c r="K22" t="s">
        <v>299</v>
      </c>
      <c r="L22">
        <v>1368</v>
      </c>
      <c r="N22">
        <v>1011</v>
      </c>
      <c r="O22" t="s">
        <v>278</v>
      </c>
      <c r="P22" t="s">
        <v>278</v>
      </c>
      <c r="Q22">
        <v>1</v>
      </c>
      <c r="W22">
        <v>0</v>
      </c>
      <c r="X22">
        <v>-1991511797</v>
      </c>
      <c r="Y22">
        <v>0.65</v>
      </c>
      <c r="AA22">
        <v>0</v>
      </c>
      <c r="AB22">
        <v>1213.3399999999999</v>
      </c>
      <c r="AC22">
        <v>461.6</v>
      </c>
      <c r="AD22">
        <v>0</v>
      </c>
      <c r="AE22">
        <v>0</v>
      </c>
      <c r="AF22">
        <v>1213.3399999999999</v>
      </c>
      <c r="AG22">
        <v>461.6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0.65</v>
      </c>
      <c r="AU22" t="s">
        <v>3</v>
      </c>
      <c r="AV22">
        <v>0</v>
      </c>
      <c r="AW22">
        <v>2</v>
      </c>
      <c r="AX22">
        <v>42187671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Y22*Source!I35</f>
        <v>4.5500000000000006E-2</v>
      </c>
      <c r="CY22">
        <f t="shared" si="4"/>
        <v>1213.3399999999999</v>
      </c>
      <c r="CZ22">
        <f t="shared" si="5"/>
        <v>1213.3399999999999</v>
      </c>
      <c r="DA22">
        <f t="shared" si="6"/>
        <v>1</v>
      </c>
      <c r="DB22">
        <f t="shared" si="2"/>
        <v>788.67</v>
      </c>
      <c r="DC22">
        <f t="shared" si="3"/>
        <v>300.04000000000002</v>
      </c>
    </row>
    <row r="23" spans="1:107" x14ac:dyDescent="0.2">
      <c r="A23">
        <f>ROW(Source!A35)</f>
        <v>35</v>
      </c>
      <c r="B23">
        <v>42184655</v>
      </c>
      <c r="C23">
        <v>42187655</v>
      </c>
      <c r="D23">
        <v>40681457</v>
      </c>
      <c r="E23">
        <v>1</v>
      </c>
      <c r="F23">
        <v>1</v>
      </c>
      <c r="G23">
        <v>27</v>
      </c>
      <c r="H23">
        <v>3</v>
      </c>
      <c r="I23" t="s">
        <v>315</v>
      </c>
      <c r="J23" t="s">
        <v>316</v>
      </c>
      <c r="K23" t="s">
        <v>317</v>
      </c>
      <c r="L23">
        <v>1339</v>
      </c>
      <c r="N23">
        <v>1007</v>
      </c>
      <c r="O23" t="s">
        <v>38</v>
      </c>
      <c r="P23" t="s">
        <v>38</v>
      </c>
      <c r="Q23">
        <v>1</v>
      </c>
      <c r="W23">
        <v>0</v>
      </c>
      <c r="X23">
        <v>811973350</v>
      </c>
      <c r="Y23">
        <v>126</v>
      </c>
      <c r="AA23">
        <v>1763.75</v>
      </c>
      <c r="AB23">
        <v>0</v>
      </c>
      <c r="AC23">
        <v>0</v>
      </c>
      <c r="AD23">
        <v>0</v>
      </c>
      <c r="AE23">
        <v>1763.75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126</v>
      </c>
      <c r="AU23" t="s">
        <v>3</v>
      </c>
      <c r="AV23">
        <v>0</v>
      </c>
      <c r="AW23">
        <v>2</v>
      </c>
      <c r="AX23">
        <v>42187672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Y23*Source!I35</f>
        <v>8.82</v>
      </c>
      <c r="CY23">
        <f>AA23</f>
        <v>1763.75</v>
      </c>
      <c r="CZ23">
        <f>AE23</f>
        <v>1763.75</v>
      </c>
      <c r="DA23">
        <f>AI23</f>
        <v>1</v>
      </c>
      <c r="DB23">
        <f t="shared" si="2"/>
        <v>222232.5</v>
      </c>
      <c r="DC23">
        <f t="shared" si="3"/>
        <v>0</v>
      </c>
    </row>
    <row r="24" spans="1:107" x14ac:dyDescent="0.2">
      <c r="A24">
        <f>ROW(Source!A35)</f>
        <v>35</v>
      </c>
      <c r="B24">
        <v>42184655</v>
      </c>
      <c r="C24">
        <v>42187655</v>
      </c>
      <c r="D24">
        <v>40682177</v>
      </c>
      <c r="E24">
        <v>1</v>
      </c>
      <c r="F24">
        <v>1</v>
      </c>
      <c r="G24">
        <v>27</v>
      </c>
      <c r="H24">
        <v>3</v>
      </c>
      <c r="I24" t="s">
        <v>303</v>
      </c>
      <c r="J24" t="s">
        <v>304</v>
      </c>
      <c r="K24" t="s">
        <v>305</v>
      </c>
      <c r="L24">
        <v>1339</v>
      </c>
      <c r="N24">
        <v>1007</v>
      </c>
      <c r="O24" t="s">
        <v>38</v>
      </c>
      <c r="P24" t="s">
        <v>38</v>
      </c>
      <c r="Q24">
        <v>1</v>
      </c>
      <c r="W24">
        <v>0</v>
      </c>
      <c r="X24">
        <v>2028445372</v>
      </c>
      <c r="Y24">
        <v>7</v>
      </c>
      <c r="AA24">
        <v>35.25</v>
      </c>
      <c r="AB24">
        <v>0</v>
      </c>
      <c r="AC24">
        <v>0</v>
      </c>
      <c r="AD24">
        <v>0</v>
      </c>
      <c r="AE24">
        <v>35.25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7</v>
      </c>
      <c r="AU24" t="s">
        <v>3</v>
      </c>
      <c r="AV24">
        <v>0</v>
      </c>
      <c r="AW24">
        <v>2</v>
      </c>
      <c r="AX24">
        <v>42187673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Y24*Source!I35</f>
        <v>0.49000000000000005</v>
      </c>
      <c r="CY24">
        <f>AA24</f>
        <v>35.25</v>
      </c>
      <c r="CZ24">
        <f>AE24</f>
        <v>35.25</v>
      </c>
      <c r="DA24">
        <f>AI24</f>
        <v>1</v>
      </c>
      <c r="DB24">
        <f t="shared" si="2"/>
        <v>246.75</v>
      </c>
      <c r="DC24">
        <f t="shared" si="3"/>
        <v>0</v>
      </c>
    </row>
    <row r="25" spans="1:107" x14ac:dyDescent="0.2">
      <c r="A25">
        <f>ROW(Source!A36)</f>
        <v>36</v>
      </c>
      <c r="B25">
        <v>42184655</v>
      </c>
      <c r="C25">
        <v>42187674</v>
      </c>
      <c r="D25">
        <v>40662784</v>
      </c>
      <c r="E25">
        <v>27</v>
      </c>
      <c r="F25">
        <v>1</v>
      </c>
      <c r="G25">
        <v>27</v>
      </c>
      <c r="H25">
        <v>1</v>
      </c>
      <c r="I25" t="s">
        <v>272</v>
      </c>
      <c r="J25" t="s">
        <v>3</v>
      </c>
      <c r="K25" t="s">
        <v>273</v>
      </c>
      <c r="L25">
        <v>1191</v>
      </c>
      <c r="N25">
        <v>1013</v>
      </c>
      <c r="O25" t="s">
        <v>274</v>
      </c>
      <c r="P25" t="s">
        <v>274</v>
      </c>
      <c r="Q25">
        <v>1</v>
      </c>
      <c r="W25">
        <v>0</v>
      </c>
      <c r="X25">
        <v>476480486</v>
      </c>
      <c r="Y25">
        <v>10.3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10.3</v>
      </c>
      <c r="AU25" t="s">
        <v>3</v>
      </c>
      <c r="AV25">
        <v>1</v>
      </c>
      <c r="AW25">
        <v>2</v>
      </c>
      <c r="AX25">
        <v>42319109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3.605</v>
      </c>
      <c r="CY25">
        <f>AD25</f>
        <v>0</v>
      </c>
      <c r="CZ25">
        <f>AH25</f>
        <v>0</v>
      </c>
      <c r="DA25">
        <f>AL25</f>
        <v>1</v>
      </c>
      <c r="DB25">
        <f t="shared" si="2"/>
        <v>0</v>
      </c>
      <c r="DC25">
        <f t="shared" si="3"/>
        <v>0</v>
      </c>
    </row>
    <row r="26" spans="1:107" x14ac:dyDescent="0.2">
      <c r="A26">
        <f>ROW(Source!A36)</f>
        <v>36</v>
      </c>
      <c r="B26">
        <v>42184655</v>
      </c>
      <c r="C26">
        <v>42187674</v>
      </c>
      <c r="D26">
        <v>40679463</v>
      </c>
      <c r="E26">
        <v>1</v>
      </c>
      <c r="F26">
        <v>1</v>
      </c>
      <c r="G26">
        <v>27</v>
      </c>
      <c r="H26">
        <v>2</v>
      </c>
      <c r="I26" t="s">
        <v>309</v>
      </c>
      <c r="J26" t="s">
        <v>310</v>
      </c>
      <c r="K26" t="s">
        <v>311</v>
      </c>
      <c r="L26">
        <v>1368</v>
      </c>
      <c r="N26">
        <v>1011</v>
      </c>
      <c r="O26" t="s">
        <v>278</v>
      </c>
      <c r="P26" t="s">
        <v>278</v>
      </c>
      <c r="Q26">
        <v>1</v>
      </c>
      <c r="W26">
        <v>0</v>
      </c>
      <c r="X26">
        <v>-1930120489</v>
      </c>
      <c r="Y26">
        <v>0.89</v>
      </c>
      <c r="AA26">
        <v>0</v>
      </c>
      <c r="AB26">
        <v>1261.8699999999999</v>
      </c>
      <c r="AC26">
        <v>530.02</v>
      </c>
      <c r="AD26">
        <v>0</v>
      </c>
      <c r="AE26">
        <v>0</v>
      </c>
      <c r="AF26">
        <v>1261.8699999999999</v>
      </c>
      <c r="AG26">
        <v>530.02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0.89</v>
      </c>
      <c r="AU26" t="s">
        <v>3</v>
      </c>
      <c r="AV26">
        <v>0</v>
      </c>
      <c r="AW26">
        <v>2</v>
      </c>
      <c r="AX26">
        <v>42319110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0.3115</v>
      </c>
      <c r="CY26">
        <f>AB26</f>
        <v>1261.8699999999999</v>
      </c>
      <c r="CZ26">
        <f>AF26</f>
        <v>1261.8699999999999</v>
      </c>
      <c r="DA26">
        <f>AJ26</f>
        <v>1</v>
      </c>
      <c r="DB26">
        <f t="shared" si="2"/>
        <v>1123.06</v>
      </c>
      <c r="DC26">
        <f t="shared" si="3"/>
        <v>471.72</v>
      </c>
    </row>
    <row r="27" spans="1:107" x14ac:dyDescent="0.2">
      <c r="A27">
        <f>ROW(Source!A36)</f>
        <v>36</v>
      </c>
      <c r="B27">
        <v>42184655</v>
      </c>
      <c r="C27">
        <v>42187674</v>
      </c>
      <c r="D27">
        <v>40680270</v>
      </c>
      <c r="E27">
        <v>1</v>
      </c>
      <c r="F27">
        <v>1</v>
      </c>
      <c r="G27">
        <v>27</v>
      </c>
      <c r="H27">
        <v>3</v>
      </c>
      <c r="I27" t="s">
        <v>318</v>
      </c>
      <c r="J27" t="s">
        <v>319</v>
      </c>
      <c r="K27" t="s">
        <v>320</v>
      </c>
      <c r="L27">
        <v>1348</v>
      </c>
      <c r="N27">
        <v>1009</v>
      </c>
      <c r="O27" t="s">
        <v>68</v>
      </c>
      <c r="P27" t="s">
        <v>68</v>
      </c>
      <c r="Q27">
        <v>1000</v>
      </c>
      <c r="W27">
        <v>0</v>
      </c>
      <c r="X27">
        <v>-298244648</v>
      </c>
      <c r="Y27">
        <v>0.06</v>
      </c>
      <c r="AA27">
        <v>25888.1</v>
      </c>
      <c r="AB27">
        <v>0</v>
      </c>
      <c r="AC27">
        <v>0</v>
      </c>
      <c r="AD27">
        <v>0</v>
      </c>
      <c r="AE27">
        <v>25888.1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0.06</v>
      </c>
      <c r="AU27" t="s">
        <v>3</v>
      </c>
      <c r="AV27">
        <v>0</v>
      </c>
      <c r="AW27">
        <v>2</v>
      </c>
      <c r="AX27">
        <v>42319111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Y27*Source!I36</f>
        <v>2.0999999999999998E-2</v>
      </c>
      <c r="CY27">
        <f>AA27</f>
        <v>25888.1</v>
      </c>
      <c r="CZ27">
        <f>AE27</f>
        <v>25888.1</v>
      </c>
      <c r="DA27">
        <f>AI27</f>
        <v>1</v>
      </c>
      <c r="DB27">
        <f t="shared" si="2"/>
        <v>1553.29</v>
      </c>
      <c r="DC27">
        <f t="shared" si="3"/>
        <v>0</v>
      </c>
    </row>
    <row r="28" spans="1:107" x14ac:dyDescent="0.2">
      <c r="A28">
        <f>ROW(Source!A36)</f>
        <v>36</v>
      </c>
      <c r="B28">
        <v>42184655</v>
      </c>
      <c r="C28">
        <v>42187674</v>
      </c>
      <c r="D28">
        <v>40683377</v>
      </c>
      <c r="E28">
        <v>1</v>
      </c>
      <c r="F28">
        <v>1</v>
      </c>
      <c r="G28">
        <v>27</v>
      </c>
      <c r="H28">
        <v>3</v>
      </c>
      <c r="I28" t="s">
        <v>66</v>
      </c>
      <c r="J28" t="s">
        <v>69</v>
      </c>
      <c r="K28" t="s">
        <v>67</v>
      </c>
      <c r="L28">
        <v>1348</v>
      </c>
      <c r="N28">
        <v>1009</v>
      </c>
      <c r="O28" t="s">
        <v>68</v>
      </c>
      <c r="P28" t="s">
        <v>68</v>
      </c>
      <c r="Q28">
        <v>1000</v>
      </c>
      <c r="W28">
        <v>1</v>
      </c>
      <c r="X28">
        <v>-740831190</v>
      </c>
      <c r="Y28">
        <v>-7.14</v>
      </c>
      <c r="AA28">
        <v>2652.04</v>
      </c>
      <c r="AB28">
        <v>0</v>
      </c>
      <c r="AC28">
        <v>0</v>
      </c>
      <c r="AD28">
        <v>0</v>
      </c>
      <c r="AE28">
        <v>2652.04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-7.14</v>
      </c>
      <c r="AU28" t="s">
        <v>3</v>
      </c>
      <c r="AV28">
        <v>0</v>
      </c>
      <c r="AW28">
        <v>2</v>
      </c>
      <c r="AX28">
        <v>42319112</v>
      </c>
      <c r="AY28">
        <v>1</v>
      </c>
      <c r="AZ28">
        <v>6144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-2.4989999999999997</v>
      </c>
      <c r="CY28">
        <f>AA28</f>
        <v>2652.04</v>
      </c>
      <c r="CZ28">
        <f>AE28</f>
        <v>2652.04</v>
      </c>
      <c r="DA28">
        <f>AI28</f>
        <v>1</v>
      </c>
      <c r="DB28">
        <f t="shared" si="2"/>
        <v>-18935.57</v>
      </c>
      <c r="DC28">
        <f t="shared" si="3"/>
        <v>0</v>
      </c>
    </row>
    <row r="29" spans="1:107" x14ac:dyDescent="0.2">
      <c r="A29">
        <f>ROW(Source!A36)</f>
        <v>36</v>
      </c>
      <c r="B29">
        <v>42184655</v>
      </c>
      <c r="C29">
        <v>42187674</v>
      </c>
      <c r="D29">
        <v>40683377</v>
      </c>
      <c r="E29">
        <v>1</v>
      </c>
      <c r="F29">
        <v>1</v>
      </c>
      <c r="G29">
        <v>27</v>
      </c>
      <c r="H29">
        <v>3</v>
      </c>
      <c r="I29" t="s">
        <v>66</v>
      </c>
      <c r="J29" t="s">
        <v>69</v>
      </c>
      <c r="K29" t="s">
        <v>67</v>
      </c>
      <c r="L29">
        <v>1348</v>
      </c>
      <c r="N29">
        <v>1009</v>
      </c>
      <c r="O29" t="s">
        <v>68</v>
      </c>
      <c r="P29" t="s">
        <v>68</v>
      </c>
      <c r="Q29">
        <v>1000</v>
      </c>
      <c r="W29">
        <v>0</v>
      </c>
      <c r="X29">
        <v>-740831190</v>
      </c>
      <c r="Y29">
        <v>11.9</v>
      </c>
      <c r="AA29">
        <v>2652.04</v>
      </c>
      <c r="AB29">
        <v>0</v>
      </c>
      <c r="AC29">
        <v>0</v>
      </c>
      <c r="AD29">
        <v>0</v>
      </c>
      <c r="AE29">
        <v>2652.04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11.9</v>
      </c>
      <c r="AU29" t="s">
        <v>3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4.165</v>
      </c>
      <c r="CY29">
        <f>AA29</f>
        <v>2652.04</v>
      </c>
      <c r="CZ29">
        <f>AE29</f>
        <v>2652.04</v>
      </c>
      <c r="DA29">
        <f>AI29</f>
        <v>1</v>
      </c>
      <c r="DB29">
        <f t="shared" si="2"/>
        <v>31559.279999999999</v>
      </c>
      <c r="DC29">
        <f t="shared" si="3"/>
        <v>0</v>
      </c>
    </row>
    <row r="30" spans="1:107" x14ac:dyDescent="0.2">
      <c r="A30">
        <f>ROW(Source!A76)</f>
        <v>76</v>
      </c>
      <c r="B30">
        <v>42184655</v>
      </c>
      <c r="C30">
        <v>42187281</v>
      </c>
      <c r="D30">
        <v>40662784</v>
      </c>
      <c r="E30">
        <v>27</v>
      </c>
      <c r="F30">
        <v>1</v>
      </c>
      <c r="G30">
        <v>27</v>
      </c>
      <c r="H30">
        <v>1</v>
      </c>
      <c r="I30" t="s">
        <v>272</v>
      </c>
      <c r="J30" t="s">
        <v>3</v>
      </c>
      <c r="K30" t="s">
        <v>273</v>
      </c>
      <c r="L30">
        <v>1191</v>
      </c>
      <c r="N30">
        <v>1013</v>
      </c>
      <c r="O30" t="s">
        <v>274</v>
      </c>
      <c r="P30" t="s">
        <v>274</v>
      </c>
      <c r="Q30">
        <v>1</v>
      </c>
      <c r="W30">
        <v>0</v>
      </c>
      <c r="X30">
        <v>476480486</v>
      </c>
      <c r="Y30">
        <v>1.59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1.59</v>
      </c>
      <c r="AU30" t="s">
        <v>3</v>
      </c>
      <c r="AV30">
        <v>1</v>
      </c>
      <c r="AW30">
        <v>2</v>
      </c>
      <c r="AX30">
        <v>42187285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Y30*Source!I76</f>
        <v>19.376884799999999</v>
      </c>
      <c r="CY30">
        <f>AD30</f>
        <v>0</v>
      </c>
      <c r="CZ30">
        <f>AH30</f>
        <v>0</v>
      </c>
      <c r="DA30">
        <f>AL30</f>
        <v>1</v>
      </c>
      <c r="DB30">
        <f t="shared" si="2"/>
        <v>0</v>
      </c>
      <c r="DC30">
        <f t="shared" si="3"/>
        <v>0</v>
      </c>
    </row>
    <row r="31" spans="1:107" x14ac:dyDescent="0.2">
      <c r="A31">
        <f>ROW(Source!A76)</f>
        <v>76</v>
      </c>
      <c r="B31">
        <v>42184655</v>
      </c>
      <c r="C31">
        <v>42187281</v>
      </c>
      <c r="D31">
        <v>40679275</v>
      </c>
      <c r="E31">
        <v>1</v>
      </c>
      <c r="F31">
        <v>1</v>
      </c>
      <c r="G31">
        <v>27</v>
      </c>
      <c r="H31">
        <v>2</v>
      </c>
      <c r="I31" t="s">
        <v>275</v>
      </c>
      <c r="J31" t="s">
        <v>276</v>
      </c>
      <c r="K31" t="s">
        <v>277</v>
      </c>
      <c r="L31">
        <v>1368</v>
      </c>
      <c r="N31">
        <v>1011</v>
      </c>
      <c r="O31" t="s">
        <v>278</v>
      </c>
      <c r="P31" t="s">
        <v>278</v>
      </c>
      <c r="Q31">
        <v>1</v>
      </c>
      <c r="W31">
        <v>0</v>
      </c>
      <c r="X31">
        <v>-903558812</v>
      </c>
      <c r="Y31">
        <v>4.9800000000000004</v>
      </c>
      <c r="AA31">
        <v>0</v>
      </c>
      <c r="AB31">
        <v>1493.72</v>
      </c>
      <c r="AC31">
        <v>566.86</v>
      </c>
      <c r="AD31">
        <v>0</v>
      </c>
      <c r="AE31">
        <v>0</v>
      </c>
      <c r="AF31">
        <v>1493.72</v>
      </c>
      <c r="AG31">
        <v>566.86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4.9800000000000004</v>
      </c>
      <c r="AU31" t="s">
        <v>3</v>
      </c>
      <c r="AV31">
        <v>0</v>
      </c>
      <c r="AW31">
        <v>2</v>
      </c>
      <c r="AX31">
        <v>42187286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Y31*Source!I76</f>
        <v>60.689865600000005</v>
      </c>
      <c r="CY31">
        <f>AB31</f>
        <v>1493.72</v>
      </c>
      <c r="CZ31">
        <f>AF31</f>
        <v>1493.72</v>
      </c>
      <c r="DA31">
        <f>AJ31</f>
        <v>1</v>
      </c>
      <c r="DB31">
        <f t="shared" si="2"/>
        <v>7438.73</v>
      </c>
      <c r="DC31">
        <f t="shared" si="3"/>
        <v>2822.96</v>
      </c>
    </row>
    <row r="32" spans="1:107" x14ac:dyDescent="0.2">
      <c r="A32">
        <f>ROW(Source!A76)</f>
        <v>76</v>
      </c>
      <c r="B32">
        <v>42184655</v>
      </c>
      <c r="C32">
        <v>42187281</v>
      </c>
      <c r="D32">
        <v>40679298</v>
      </c>
      <c r="E32">
        <v>1</v>
      </c>
      <c r="F32">
        <v>1</v>
      </c>
      <c r="G32">
        <v>27</v>
      </c>
      <c r="H32">
        <v>2</v>
      </c>
      <c r="I32" t="s">
        <v>279</v>
      </c>
      <c r="J32" t="s">
        <v>280</v>
      </c>
      <c r="K32" t="s">
        <v>281</v>
      </c>
      <c r="L32">
        <v>1368</v>
      </c>
      <c r="N32">
        <v>1011</v>
      </c>
      <c r="O32" t="s">
        <v>278</v>
      </c>
      <c r="P32" t="s">
        <v>278</v>
      </c>
      <c r="Q32">
        <v>1</v>
      </c>
      <c r="W32">
        <v>0</v>
      </c>
      <c r="X32">
        <v>-888973741</v>
      </c>
      <c r="Y32">
        <v>1.25</v>
      </c>
      <c r="AA32">
        <v>0</v>
      </c>
      <c r="AB32">
        <v>1072.23</v>
      </c>
      <c r="AC32">
        <v>488.73</v>
      </c>
      <c r="AD32">
        <v>0</v>
      </c>
      <c r="AE32">
        <v>0</v>
      </c>
      <c r="AF32">
        <v>1072.23</v>
      </c>
      <c r="AG32">
        <v>488.73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1.25</v>
      </c>
      <c r="AU32" t="s">
        <v>3</v>
      </c>
      <c r="AV32">
        <v>0</v>
      </c>
      <c r="AW32">
        <v>2</v>
      </c>
      <c r="AX32">
        <v>42187287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Y32*Source!I76</f>
        <v>15.2334</v>
      </c>
      <c r="CY32">
        <f>AB32</f>
        <v>1072.23</v>
      </c>
      <c r="CZ32">
        <f>AF32</f>
        <v>1072.23</v>
      </c>
      <c r="DA32">
        <f>AJ32</f>
        <v>1</v>
      </c>
      <c r="DB32">
        <f t="shared" si="2"/>
        <v>1340.29</v>
      </c>
      <c r="DC32">
        <f t="shared" si="3"/>
        <v>610.91</v>
      </c>
    </row>
    <row r="33" spans="1:107" x14ac:dyDescent="0.2">
      <c r="A33">
        <f>ROW(Source!A77)</f>
        <v>77</v>
      </c>
      <c r="B33">
        <v>42184655</v>
      </c>
      <c r="C33">
        <v>42187288</v>
      </c>
      <c r="D33">
        <v>40662784</v>
      </c>
      <c r="E33">
        <v>27</v>
      </c>
      <c r="F33">
        <v>1</v>
      </c>
      <c r="G33">
        <v>27</v>
      </c>
      <c r="H33">
        <v>1</v>
      </c>
      <c r="I33" t="s">
        <v>272</v>
      </c>
      <c r="J33" t="s">
        <v>3</v>
      </c>
      <c r="K33" t="s">
        <v>273</v>
      </c>
      <c r="L33">
        <v>1191</v>
      </c>
      <c r="N33">
        <v>1013</v>
      </c>
      <c r="O33" t="s">
        <v>274</v>
      </c>
      <c r="P33" t="s">
        <v>274</v>
      </c>
      <c r="Q33">
        <v>1</v>
      </c>
      <c r="W33">
        <v>0</v>
      </c>
      <c r="X33">
        <v>476480486</v>
      </c>
      <c r="Y33">
        <v>221.6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221.6</v>
      </c>
      <c r="AU33" t="s">
        <v>3</v>
      </c>
      <c r="AV33">
        <v>1</v>
      </c>
      <c r="AW33">
        <v>2</v>
      </c>
      <c r="AX33">
        <v>42187290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Y33*Source!I77</f>
        <v>300.06412799999998</v>
      </c>
      <c r="CY33">
        <f>AD33</f>
        <v>0</v>
      </c>
      <c r="CZ33">
        <f>AH33</f>
        <v>0</v>
      </c>
      <c r="DA33">
        <f>AL33</f>
        <v>1</v>
      </c>
      <c r="DB33">
        <f t="shared" si="2"/>
        <v>0</v>
      </c>
      <c r="DC33">
        <f t="shared" si="3"/>
        <v>0</v>
      </c>
    </row>
    <row r="34" spans="1:107" x14ac:dyDescent="0.2">
      <c r="A34">
        <f>ROW(Source!A78)</f>
        <v>78</v>
      </c>
      <c r="B34">
        <v>42184655</v>
      </c>
      <c r="C34">
        <v>42187291</v>
      </c>
      <c r="D34">
        <v>40662784</v>
      </c>
      <c r="E34">
        <v>27</v>
      </c>
      <c r="F34">
        <v>1</v>
      </c>
      <c r="G34">
        <v>27</v>
      </c>
      <c r="H34">
        <v>1</v>
      </c>
      <c r="I34" t="s">
        <v>272</v>
      </c>
      <c r="J34" t="s">
        <v>3</v>
      </c>
      <c r="K34" t="s">
        <v>273</v>
      </c>
      <c r="L34">
        <v>1191</v>
      </c>
      <c r="N34">
        <v>1013</v>
      </c>
      <c r="O34" t="s">
        <v>274</v>
      </c>
      <c r="P34" t="s">
        <v>274</v>
      </c>
      <c r="Q34">
        <v>1</v>
      </c>
      <c r="W34">
        <v>0</v>
      </c>
      <c r="X34">
        <v>476480486</v>
      </c>
      <c r="Y34">
        <v>83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83</v>
      </c>
      <c r="AU34" t="s">
        <v>3</v>
      </c>
      <c r="AV34">
        <v>1</v>
      </c>
      <c r="AW34">
        <v>2</v>
      </c>
      <c r="AX34">
        <v>42187293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Y34*Source!I78</f>
        <v>11.238864</v>
      </c>
      <c r="CY34">
        <f>AD34</f>
        <v>0</v>
      </c>
      <c r="CZ34">
        <f>AH34</f>
        <v>0</v>
      </c>
      <c r="DA34">
        <f>AL34</f>
        <v>1</v>
      </c>
      <c r="DB34">
        <f t="shared" si="2"/>
        <v>0</v>
      </c>
      <c r="DC34">
        <f t="shared" si="3"/>
        <v>0</v>
      </c>
    </row>
    <row r="35" spans="1:107" x14ac:dyDescent="0.2">
      <c r="A35">
        <f>ROW(Source!A79)</f>
        <v>79</v>
      </c>
      <c r="B35">
        <v>42184655</v>
      </c>
      <c r="C35">
        <v>42187294</v>
      </c>
      <c r="D35">
        <v>40680075</v>
      </c>
      <c r="E35">
        <v>1</v>
      </c>
      <c r="F35">
        <v>1</v>
      </c>
      <c r="G35">
        <v>27</v>
      </c>
      <c r="H35">
        <v>2</v>
      </c>
      <c r="I35" t="s">
        <v>282</v>
      </c>
      <c r="J35" t="s">
        <v>283</v>
      </c>
      <c r="K35" t="s">
        <v>284</v>
      </c>
      <c r="L35">
        <v>1368</v>
      </c>
      <c r="N35">
        <v>1011</v>
      </c>
      <c r="O35" t="s">
        <v>278</v>
      </c>
      <c r="P35" t="s">
        <v>278</v>
      </c>
      <c r="Q35">
        <v>1</v>
      </c>
      <c r="W35">
        <v>0</v>
      </c>
      <c r="X35">
        <v>-1786200580</v>
      </c>
      <c r="Y35">
        <v>3.1E-2</v>
      </c>
      <c r="AA35">
        <v>0</v>
      </c>
      <c r="AB35">
        <v>1014.12</v>
      </c>
      <c r="AC35">
        <v>317.13</v>
      </c>
      <c r="AD35">
        <v>0</v>
      </c>
      <c r="AE35">
        <v>0</v>
      </c>
      <c r="AF35">
        <v>1014.12</v>
      </c>
      <c r="AG35">
        <v>317.13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3.1E-2</v>
      </c>
      <c r="AU35" t="s">
        <v>3</v>
      </c>
      <c r="AV35">
        <v>0</v>
      </c>
      <c r="AW35">
        <v>2</v>
      </c>
      <c r="AX35">
        <v>42187296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Y35*Source!I79</f>
        <v>41.976479999999995</v>
      </c>
      <c r="CY35">
        <f>AB35</f>
        <v>1014.12</v>
      </c>
      <c r="CZ35">
        <f>AF35</f>
        <v>1014.12</v>
      </c>
      <c r="DA35">
        <f>AJ35</f>
        <v>1</v>
      </c>
      <c r="DB35">
        <f t="shared" si="2"/>
        <v>31.44</v>
      </c>
      <c r="DC35">
        <f t="shared" si="3"/>
        <v>9.83</v>
      </c>
    </row>
    <row r="36" spans="1:107" x14ac:dyDescent="0.2">
      <c r="A36">
        <f>ROW(Source!A80)</f>
        <v>80</v>
      </c>
      <c r="B36">
        <v>42184655</v>
      </c>
      <c r="C36">
        <v>42187297</v>
      </c>
      <c r="D36">
        <v>40680075</v>
      </c>
      <c r="E36">
        <v>1</v>
      </c>
      <c r="F36">
        <v>1</v>
      </c>
      <c r="G36">
        <v>27</v>
      </c>
      <c r="H36">
        <v>2</v>
      </c>
      <c r="I36" t="s">
        <v>282</v>
      </c>
      <c r="J36" t="s">
        <v>283</v>
      </c>
      <c r="K36" t="s">
        <v>284</v>
      </c>
      <c r="L36">
        <v>1368</v>
      </c>
      <c r="N36">
        <v>1011</v>
      </c>
      <c r="O36" t="s">
        <v>278</v>
      </c>
      <c r="P36" t="s">
        <v>278</v>
      </c>
      <c r="Q36">
        <v>1</v>
      </c>
      <c r="W36">
        <v>0</v>
      </c>
      <c r="X36">
        <v>-1786200580</v>
      </c>
      <c r="Y36">
        <v>0.54</v>
      </c>
      <c r="AA36">
        <v>0</v>
      </c>
      <c r="AB36">
        <v>1014.12</v>
      </c>
      <c r="AC36">
        <v>317.13</v>
      </c>
      <c r="AD36">
        <v>0</v>
      </c>
      <c r="AE36">
        <v>0</v>
      </c>
      <c r="AF36">
        <v>1014.12</v>
      </c>
      <c r="AG36">
        <v>317.13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0.01</v>
      </c>
      <c r="AU36" t="s">
        <v>45</v>
      </c>
      <c r="AV36">
        <v>0</v>
      </c>
      <c r="AW36">
        <v>2</v>
      </c>
      <c r="AX36">
        <v>42187299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Y36*Source!I80</f>
        <v>731.20320000000004</v>
      </c>
      <c r="CY36">
        <f>AB36</f>
        <v>1014.12</v>
      </c>
      <c r="CZ36">
        <f>AF36</f>
        <v>1014.12</v>
      </c>
      <c r="DA36">
        <f>AJ36</f>
        <v>1</v>
      </c>
      <c r="DB36">
        <f>ROUND((ROUND(AT36*CZ36,2)*54),6)</f>
        <v>547.55999999999995</v>
      </c>
      <c r="DC36">
        <f>ROUND((ROUND(AT36*AG36,2)*54),6)</f>
        <v>171.18</v>
      </c>
    </row>
    <row r="37" spans="1:107" x14ac:dyDescent="0.2">
      <c r="A37">
        <f>ROW(Source!A82)</f>
        <v>82</v>
      </c>
      <c r="B37">
        <v>42184655</v>
      </c>
      <c r="C37">
        <v>42187300</v>
      </c>
      <c r="D37">
        <v>40662784</v>
      </c>
      <c r="E37">
        <v>27</v>
      </c>
      <c r="F37">
        <v>1</v>
      </c>
      <c r="G37">
        <v>27</v>
      </c>
      <c r="H37">
        <v>1</v>
      </c>
      <c r="I37" t="s">
        <v>272</v>
      </c>
      <c r="J37" t="s">
        <v>3</v>
      </c>
      <c r="K37" t="s">
        <v>273</v>
      </c>
      <c r="L37">
        <v>1191</v>
      </c>
      <c r="N37">
        <v>1013</v>
      </c>
      <c r="O37" t="s">
        <v>274</v>
      </c>
      <c r="P37" t="s">
        <v>274</v>
      </c>
      <c r="Q37">
        <v>1</v>
      </c>
      <c r="W37">
        <v>0</v>
      </c>
      <c r="X37">
        <v>476480486</v>
      </c>
      <c r="Y37">
        <v>16.559999999999999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16.559999999999999</v>
      </c>
      <c r="AU37" t="s">
        <v>3</v>
      </c>
      <c r="AV37">
        <v>1</v>
      </c>
      <c r="AW37">
        <v>2</v>
      </c>
      <c r="AX37">
        <v>42187309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Y37*Source!I82</f>
        <v>106.77888</v>
      </c>
      <c r="CY37">
        <f>AD37</f>
        <v>0</v>
      </c>
      <c r="CZ37">
        <f>AH37</f>
        <v>0</v>
      </c>
      <c r="DA37">
        <f>AL37</f>
        <v>1</v>
      </c>
      <c r="DB37">
        <f t="shared" ref="DB37:DB65" si="7">ROUND(ROUND(AT37*CZ37,2),6)</f>
        <v>0</v>
      </c>
      <c r="DC37">
        <f t="shared" ref="DC37:DC65" si="8">ROUND(ROUND(AT37*AG37,2),6)</f>
        <v>0</v>
      </c>
    </row>
    <row r="38" spans="1:107" x14ac:dyDescent="0.2">
      <c r="A38">
        <f>ROW(Source!A82)</f>
        <v>82</v>
      </c>
      <c r="B38">
        <v>42184655</v>
      </c>
      <c r="C38">
        <v>42187300</v>
      </c>
      <c r="D38">
        <v>40679320</v>
      </c>
      <c r="E38">
        <v>1</v>
      </c>
      <c r="F38">
        <v>1</v>
      </c>
      <c r="G38">
        <v>27</v>
      </c>
      <c r="H38">
        <v>2</v>
      </c>
      <c r="I38" t="s">
        <v>285</v>
      </c>
      <c r="J38" t="s">
        <v>286</v>
      </c>
      <c r="K38" t="s">
        <v>287</v>
      </c>
      <c r="L38">
        <v>1368</v>
      </c>
      <c r="N38">
        <v>1011</v>
      </c>
      <c r="O38" t="s">
        <v>278</v>
      </c>
      <c r="P38" t="s">
        <v>278</v>
      </c>
      <c r="Q38">
        <v>1</v>
      </c>
      <c r="W38">
        <v>0</v>
      </c>
      <c r="X38">
        <v>-714750861</v>
      </c>
      <c r="Y38">
        <v>2.08</v>
      </c>
      <c r="AA38">
        <v>0</v>
      </c>
      <c r="AB38">
        <v>740.94</v>
      </c>
      <c r="AC38">
        <v>413.22</v>
      </c>
      <c r="AD38">
        <v>0</v>
      </c>
      <c r="AE38">
        <v>0</v>
      </c>
      <c r="AF38">
        <v>740.94</v>
      </c>
      <c r="AG38">
        <v>413.22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2.08</v>
      </c>
      <c r="AU38" t="s">
        <v>3</v>
      </c>
      <c r="AV38">
        <v>0</v>
      </c>
      <c r="AW38">
        <v>2</v>
      </c>
      <c r="AX38">
        <v>42187310</v>
      </c>
      <c r="AY38">
        <v>1</v>
      </c>
      <c r="AZ38">
        <v>0</v>
      </c>
      <c r="BA38">
        <v>37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Y38*Source!I82</f>
        <v>13.411840000000002</v>
      </c>
      <c r="CY38">
        <f>AB38</f>
        <v>740.94</v>
      </c>
      <c r="CZ38">
        <f>AF38</f>
        <v>740.94</v>
      </c>
      <c r="DA38">
        <f>AJ38</f>
        <v>1</v>
      </c>
      <c r="DB38">
        <f t="shared" si="7"/>
        <v>1541.16</v>
      </c>
      <c r="DC38">
        <f t="shared" si="8"/>
        <v>859.5</v>
      </c>
    </row>
    <row r="39" spans="1:107" x14ac:dyDescent="0.2">
      <c r="A39">
        <f>ROW(Source!A82)</f>
        <v>82</v>
      </c>
      <c r="B39">
        <v>42184655</v>
      </c>
      <c r="C39">
        <v>42187300</v>
      </c>
      <c r="D39">
        <v>40679475</v>
      </c>
      <c r="E39">
        <v>1</v>
      </c>
      <c r="F39">
        <v>1</v>
      </c>
      <c r="G39">
        <v>27</v>
      </c>
      <c r="H39">
        <v>2</v>
      </c>
      <c r="I39" t="s">
        <v>288</v>
      </c>
      <c r="J39" t="s">
        <v>289</v>
      </c>
      <c r="K39" t="s">
        <v>290</v>
      </c>
      <c r="L39">
        <v>1368</v>
      </c>
      <c r="N39">
        <v>1011</v>
      </c>
      <c r="O39" t="s">
        <v>278</v>
      </c>
      <c r="P39" t="s">
        <v>278</v>
      </c>
      <c r="Q39">
        <v>1</v>
      </c>
      <c r="W39">
        <v>0</v>
      </c>
      <c r="X39">
        <v>1985690002</v>
      </c>
      <c r="Y39">
        <v>2.08</v>
      </c>
      <c r="AA39">
        <v>0</v>
      </c>
      <c r="AB39">
        <v>430.32</v>
      </c>
      <c r="AC39">
        <v>215.31</v>
      </c>
      <c r="AD39">
        <v>0</v>
      </c>
      <c r="AE39">
        <v>0</v>
      </c>
      <c r="AF39">
        <v>430.32</v>
      </c>
      <c r="AG39">
        <v>215.31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2.08</v>
      </c>
      <c r="AU39" t="s">
        <v>3</v>
      </c>
      <c r="AV39">
        <v>0</v>
      </c>
      <c r="AW39">
        <v>2</v>
      </c>
      <c r="AX39">
        <v>42187311</v>
      </c>
      <c r="AY39">
        <v>1</v>
      </c>
      <c r="AZ39">
        <v>0</v>
      </c>
      <c r="BA39">
        <v>38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Y39*Source!I82</f>
        <v>13.411840000000002</v>
      </c>
      <c r="CY39">
        <f>AB39</f>
        <v>430.32</v>
      </c>
      <c r="CZ39">
        <f>AF39</f>
        <v>430.32</v>
      </c>
      <c r="DA39">
        <f>AJ39</f>
        <v>1</v>
      </c>
      <c r="DB39">
        <f t="shared" si="7"/>
        <v>895.07</v>
      </c>
      <c r="DC39">
        <f t="shared" si="8"/>
        <v>447.84</v>
      </c>
    </row>
    <row r="40" spans="1:107" x14ac:dyDescent="0.2">
      <c r="A40">
        <f>ROW(Source!A82)</f>
        <v>82</v>
      </c>
      <c r="B40">
        <v>42184655</v>
      </c>
      <c r="C40">
        <v>42187300</v>
      </c>
      <c r="D40">
        <v>40679478</v>
      </c>
      <c r="E40">
        <v>1</v>
      </c>
      <c r="F40">
        <v>1</v>
      </c>
      <c r="G40">
        <v>27</v>
      </c>
      <c r="H40">
        <v>2</v>
      </c>
      <c r="I40" t="s">
        <v>291</v>
      </c>
      <c r="J40" t="s">
        <v>292</v>
      </c>
      <c r="K40" t="s">
        <v>293</v>
      </c>
      <c r="L40">
        <v>1368</v>
      </c>
      <c r="N40">
        <v>1011</v>
      </c>
      <c r="O40" t="s">
        <v>278</v>
      </c>
      <c r="P40" t="s">
        <v>278</v>
      </c>
      <c r="Q40">
        <v>1</v>
      </c>
      <c r="W40">
        <v>0</v>
      </c>
      <c r="X40">
        <v>351519474</v>
      </c>
      <c r="Y40">
        <v>0.81</v>
      </c>
      <c r="AA40">
        <v>0</v>
      </c>
      <c r="AB40">
        <v>2020.59</v>
      </c>
      <c r="AC40">
        <v>458.56</v>
      </c>
      <c r="AD40">
        <v>0</v>
      </c>
      <c r="AE40">
        <v>0</v>
      </c>
      <c r="AF40">
        <v>2020.59</v>
      </c>
      <c r="AG40">
        <v>458.56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0.81</v>
      </c>
      <c r="AU40" t="s">
        <v>3</v>
      </c>
      <c r="AV40">
        <v>0</v>
      </c>
      <c r="AW40">
        <v>2</v>
      </c>
      <c r="AX40">
        <v>42187312</v>
      </c>
      <c r="AY40">
        <v>1</v>
      </c>
      <c r="AZ40">
        <v>0</v>
      </c>
      <c r="BA40">
        <v>39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Y40*Source!I82</f>
        <v>5.2228800000000009</v>
      </c>
      <c r="CY40">
        <f>AB40</f>
        <v>2020.59</v>
      </c>
      <c r="CZ40">
        <f>AF40</f>
        <v>2020.59</v>
      </c>
      <c r="DA40">
        <f>AJ40</f>
        <v>1</v>
      </c>
      <c r="DB40">
        <f t="shared" si="7"/>
        <v>1636.68</v>
      </c>
      <c r="DC40">
        <f t="shared" si="8"/>
        <v>371.43</v>
      </c>
    </row>
    <row r="41" spans="1:107" x14ac:dyDescent="0.2">
      <c r="A41">
        <f>ROW(Source!A82)</f>
        <v>82</v>
      </c>
      <c r="B41">
        <v>42184655</v>
      </c>
      <c r="C41">
        <v>42187300</v>
      </c>
      <c r="D41">
        <v>40679502</v>
      </c>
      <c r="E41">
        <v>1</v>
      </c>
      <c r="F41">
        <v>1</v>
      </c>
      <c r="G41">
        <v>27</v>
      </c>
      <c r="H41">
        <v>2</v>
      </c>
      <c r="I41" t="s">
        <v>294</v>
      </c>
      <c r="J41" t="s">
        <v>295</v>
      </c>
      <c r="K41" t="s">
        <v>296</v>
      </c>
      <c r="L41">
        <v>1368</v>
      </c>
      <c r="N41">
        <v>1011</v>
      </c>
      <c r="O41" t="s">
        <v>278</v>
      </c>
      <c r="P41" t="s">
        <v>278</v>
      </c>
      <c r="Q41">
        <v>1</v>
      </c>
      <c r="W41">
        <v>0</v>
      </c>
      <c r="X41">
        <v>41279402</v>
      </c>
      <c r="Y41">
        <v>1.94</v>
      </c>
      <c r="AA41">
        <v>0</v>
      </c>
      <c r="AB41">
        <v>1412.71</v>
      </c>
      <c r="AC41">
        <v>641.32000000000005</v>
      </c>
      <c r="AD41">
        <v>0</v>
      </c>
      <c r="AE41">
        <v>0</v>
      </c>
      <c r="AF41">
        <v>1412.71</v>
      </c>
      <c r="AG41">
        <v>641.32000000000005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1.94</v>
      </c>
      <c r="AU41" t="s">
        <v>3</v>
      </c>
      <c r="AV41">
        <v>0</v>
      </c>
      <c r="AW41">
        <v>2</v>
      </c>
      <c r="AX41">
        <v>42187313</v>
      </c>
      <c r="AY41">
        <v>1</v>
      </c>
      <c r="AZ41">
        <v>0</v>
      </c>
      <c r="BA41">
        <v>40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Y41*Source!I82</f>
        <v>12.509120000000001</v>
      </c>
      <c r="CY41">
        <f>AB41</f>
        <v>1412.71</v>
      </c>
      <c r="CZ41">
        <f>AF41</f>
        <v>1412.71</v>
      </c>
      <c r="DA41">
        <f>AJ41</f>
        <v>1</v>
      </c>
      <c r="DB41">
        <f t="shared" si="7"/>
        <v>2740.66</v>
      </c>
      <c r="DC41">
        <f t="shared" si="8"/>
        <v>1244.1600000000001</v>
      </c>
    </row>
    <row r="42" spans="1:107" x14ac:dyDescent="0.2">
      <c r="A42">
        <f>ROW(Source!A82)</f>
        <v>82</v>
      </c>
      <c r="B42">
        <v>42184655</v>
      </c>
      <c r="C42">
        <v>42187300</v>
      </c>
      <c r="D42">
        <v>40679468</v>
      </c>
      <c r="E42">
        <v>1</v>
      </c>
      <c r="F42">
        <v>1</v>
      </c>
      <c r="G42">
        <v>27</v>
      </c>
      <c r="H42">
        <v>2</v>
      </c>
      <c r="I42" t="s">
        <v>297</v>
      </c>
      <c r="J42" t="s">
        <v>298</v>
      </c>
      <c r="K42" t="s">
        <v>299</v>
      </c>
      <c r="L42">
        <v>1368</v>
      </c>
      <c r="N42">
        <v>1011</v>
      </c>
      <c r="O42" t="s">
        <v>278</v>
      </c>
      <c r="P42" t="s">
        <v>278</v>
      </c>
      <c r="Q42">
        <v>1</v>
      </c>
      <c r="W42">
        <v>0</v>
      </c>
      <c r="X42">
        <v>-1991511797</v>
      </c>
      <c r="Y42">
        <v>0.65</v>
      </c>
      <c r="AA42">
        <v>0</v>
      </c>
      <c r="AB42">
        <v>1213.3399999999999</v>
      </c>
      <c r="AC42">
        <v>461.6</v>
      </c>
      <c r="AD42">
        <v>0</v>
      </c>
      <c r="AE42">
        <v>0</v>
      </c>
      <c r="AF42">
        <v>1213.3399999999999</v>
      </c>
      <c r="AG42">
        <v>461.6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0.65</v>
      </c>
      <c r="AU42" t="s">
        <v>3</v>
      </c>
      <c r="AV42">
        <v>0</v>
      </c>
      <c r="AW42">
        <v>2</v>
      </c>
      <c r="AX42">
        <v>42187314</v>
      </c>
      <c r="AY42">
        <v>1</v>
      </c>
      <c r="AZ42">
        <v>0</v>
      </c>
      <c r="BA42">
        <v>41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Y42*Source!I82</f>
        <v>4.1912000000000003</v>
      </c>
      <c r="CY42">
        <f>AB42</f>
        <v>1213.3399999999999</v>
      </c>
      <c r="CZ42">
        <f>AF42</f>
        <v>1213.3399999999999</v>
      </c>
      <c r="DA42">
        <f>AJ42</f>
        <v>1</v>
      </c>
      <c r="DB42">
        <f t="shared" si="7"/>
        <v>788.67</v>
      </c>
      <c r="DC42">
        <f t="shared" si="8"/>
        <v>300.04000000000002</v>
      </c>
    </row>
    <row r="43" spans="1:107" x14ac:dyDescent="0.2">
      <c r="A43">
        <f>ROW(Source!A82)</f>
        <v>82</v>
      </c>
      <c r="B43">
        <v>42184655</v>
      </c>
      <c r="C43">
        <v>42187300</v>
      </c>
      <c r="D43">
        <v>40681431</v>
      </c>
      <c r="E43">
        <v>1</v>
      </c>
      <c r="F43">
        <v>1</v>
      </c>
      <c r="G43">
        <v>27</v>
      </c>
      <c r="H43">
        <v>3</v>
      </c>
      <c r="I43" t="s">
        <v>300</v>
      </c>
      <c r="J43" t="s">
        <v>301</v>
      </c>
      <c r="K43" t="s">
        <v>302</v>
      </c>
      <c r="L43">
        <v>1339</v>
      </c>
      <c r="N43">
        <v>1007</v>
      </c>
      <c r="O43" t="s">
        <v>38</v>
      </c>
      <c r="P43" t="s">
        <v>38</v>
      </c>
      <c r="Q43">
        <v>1</v>
      </c>
      <c r="W43">
        <v>0</v>
      </c>
      <c r="X43">
        <v>-840107338</v>
      </c>
      <c r="Y43">
        <v>110</v>
      </c>
      <c r="AA43">
        <v>590.78</v>
      </c>
      <c r="AB43">
        <v>0</v>
      </c>
      <c r="AC43">
        <v>0</v>
      </c>
      <c r="AD43">
        <v>0</v>
      </c>
      <c r="AE43">
        <v>590.78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110</v>
      </c>
      <c r="AU43" t="s">
        <v>3</v>
      </c>
      <c r="AV43">
        <v>0</v>
      </c>
      <c r="AW43">
        <v>2</v>
      </c>
      <c r="AX43">
        <v>42187315</v>
      </c>
      <c r="AY43">
        <v>1</v>
      </c>
      <c r="AZ43">
        <v>0</v>
      </c>
      <c r="BA43">
        <v>42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Y43*Source!I82</f>
        <v>709.28000000000009</v>
      </c>
      <c r="CY43">
        <f>AA43</f>
        <v>590.78</v>
      </c>
      <c r="CZ43">
        <f>AE43</f>
        <v>590.78</v>
      </c>
      <c r="DA43">
        <f>AI43</f>
        <v>1</v>
      </c>
      <c r="DB43">
        <f t="shared" si="7"/>
        <v>64985.8</v>
      </c>
      <c r="DC43">
        <f t="shared" si="8"/>
        <v>0</v>
      </c>
    </row>
    <row r="44" spans="1:107" x14ac:dyDescent="0.2">
      <c r="A44">
        <f>ROW(Source!A82)</f>
        <v>82</v>
      </c>
      <c r="B44">
        <v>42184655</v>
      </c>
      <c r="C44">
        <v>42187300</v>
      </c>
      <c r="D44">
        <v>40682177</v>
      </c>
      <c r="E44">
        <v>1</v>
      </c>
      <c r="F44">
        <v>1</v>
      </c>
      <c r="G44">
        <v>27</v>
      </c>
      <c r="H44">
        <v>3</v>
      </c>
      <c r="I44" t="s">
        <v>303</v>
      </c>
      <c r="J44" t="s">
        <v>304</v>
      </c>
      <c r="K44" t="s">
        <v>305</v>
      </c>
      <c r="L44">
        <v>1339</v>
      </c>
      <c r="N44">
        <v>1007</v>
      </c>
      <c r="O44" t="s">
        <v>38</v>
      </c>
      <c r="P44" t="s">
        <v>38</v>
      </c>
      <c r="Q44">
        <v>1</v>
      </c>
      <c r="W44">
        <v>0</v>
      </c>
      <c r="X44">
        <v>2028445372</v>
      </c>
      <c r="Y44">
        <v>5</v>
      </c>
      <c r="AA44">
        <v>35.25</v>
      </c>
      <c r="AB44">
        <v>0</v>
      </c>
      <c r="AC44">
        <v>0</v>
      </c>
      <c r="AD44">
        <v>0</v>
      </c>
      <c r="AE44">
        <v>35.25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5</v>
      </c>
      <c r="AU44" t="s">
        <v>3</v>
      </c>
      <c r="AV44">
        <v>0</v>
      </c>
      <c r="AW44">
        <v>2</v>
      </c>
      <c r="AX44">
        <v>42187316</v>
      </c>
      <c r="AY44">
        <v>1</v>
      </c>
      <c r="AZ44">
        <v>0</v>
      </c>
      <c r="BA44">
        <v>43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Y44*Source!I82</f>
        <v>32.24</v>
      </c>
      <c r="CY44">
        <f>AA44</f>
        <v>35.25</v>
      </c>
      <c r="CZ44">
        <f>AE44</f>
        <v>35.25</v>
      </c>
      <c r="DA44">
        <f>AI44</f>
        <v>1</v>
      </c>
      <c r="DB44">
        <f t="shared" si="7"/>
        <v>176.25</v>
      </c>
      <c r="DC44">
        <f t="shared" si="8"/>
        <v>0</v>
      </c>
    </row>
    <row r="45" spans="1:107" x14ac:dyDescent="0.2">
      <c r="A45">
        <f>ROW(Source!A83)</f>
        <v>83</v>
      </c>
      <c r="B45">
        <v>42184655</v>
      </c>
      <c r="C45">
        <v>42187317</v>
      </c>
      <c r="D45">
        <v>40662784</v>
      </c>
      <c r="E45">
        <v>27</v>
      </c>
      <c r="F45">
        <v>1</v>
      </c>
      <c r="G45">
        <v>27</v>
      </c>
      <c r="H45">
        <v>1</v>
      </c>
      <c r="I45" t="s">
        <v>272</v>
      </c>
      <c r="J45" t="s">
        <v>3</v>
      </c>
      <c r="K45" t="s">
        <v>273</v>
      </c>
      <c r="L45">
        <v>1191</v>
      </c>
      <c r="N45">
        <v>1013</v>
      </c>
      <c r="O45" t="s">
        <v>274</v>
      </c>
      <c r="P45" t="s">
        <v>274</v>
      </c>
      <c r="Q45">
        <v>1</v>
      </c>
      <c r="W45">
        <v>0</v>
      </c>
      <c r="X45">
        <v>476480486</v>
      </c>
      <c r="Y45">
        <v>24.84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24.84</v>
      </c>
      <c r="AU45" t="s">
        <v>3</v>
      </c>
      <c r="AV45">
        <v>1</v>
      </c>
      <c r="AW45">
        <v>2</v>
      </c>
      <c r="AX45">
        <v>42187327</v>
      </c>
      <c r="AY45">
        <v>1</v>
      </c>
      <c r="AZ45">
        <v>0</v>
      </c>
      <c r="BA45">
        <v>44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Y45*Source!I83</f>
        <v>117.383904</v>
      </c>
      <c r="CY45">
        <f>AD45</f>
        <v>0</v>
      </c>
      <c r="CZ45">
        <f>AH45</f>
        <v>0</v>
      </c>
      <c r="DA45">
        <f>AL45</f>
        <v>1</v>
      </c>
      <c r="DB45">
        <f t="shared" si="7"/>
        <v>0</v>
      </c>
      <c r="DC45">
        <f t="shared" si="8"/>
        <v>0</v>
      </c>
    </row>
    <row r="46" spans="1:107" x14ac:dyDescent="0.2">
      <c r="A46">
        <f>ROW(Source!A83)</f>
        <v>83</v>
      </c>
      <c r="B46">
        <v>42184655</v>
      </c>
      <c r="C46">
        <v>42187317</v>
      </c>
      <c r="D46">
        <v>40679297</v>
      </c>
      <c r="E46">
        <v>1</v>
      </c>
      <c r="F46">
        <v>1</v>
      </c>
      <c r="G46">
        <v>27</v>
      </c>
      <c r="H46">
        <v>2</v>
      </c>
      <c r="I46" t="s">
        <v>306</v>
      </c>
      <c r="J46" t="s">
        <v>307</v>
      </c>
      <c r="K46" t="s">
        <v>308</v>
      </c>
      <c r="L46">
        <v>1368</v>
      </c>
      <c r="N46">
        <v>1011</v>
      </c>
      <c r="O46" t="s">
        <v>278</v>
      </c>
      <c r="P46" t="s">
        <v>278</v>
      </c>
      <c r="Q46">
        <v>1</v>
      </c>
      <c r="W46">
        <v>0</v>
      </c>
      <c r="X46">
        <v>974897901</v>
      </c>
      <c r="Y46">
        <v>2.94</v>
      </c>
      <c r="AA46">
        <v>0</v>
      </c>
      <c r="AB46">
        <v>956.79</v>
      </c>
      <c r="AC46">
        <v>359.44</v>
      </c>
      <c r="AD46">
        <v>0</v>
      </c>
      <c r="AE46">
        <v>0</v>
      </c>
      <c r="AF46">
        <v>956.79</v>
      </c>
      <c r="AG46">
        <v>359.44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2.94</v>
      </c>
      <c r="AU46" t="s">
        <v>3</v>
      </c>
      <c r="AV46">
        <v>0</v>
      </c>
      <c r="AW46">
        <v>2</v>
      </c>
      <c r="AX46">
        <v>42187328</v>
      </c>
      <c r="AY46">
        <v>1</v>
      </c>
      <c r="AZ46">
        <v>0</v>
      </c>
      <c r="BA46">
        <v>45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Y46*Source!I83</f>
        <v>13.893264</v>
      </c>
      <c r="CY46">
        <f t="shared" ref="CY46:CY51" si="9">AB46</f>
        <v>956.79</v>
      </c>
      <c r="CZ46">
        <f t="shared" ref="CZ46:CZ51" si="10">AF46</f>
        <v>956.79</v>
      </c>
      <c r="DA46">
        <f t="shared" ref="DA46:DA51" si="11">AJ46</f>
        <v>1</v>
      </c>
      <c r="DB46">
        <f t="shared" si="7"/>
        <v>2812.96</v>
      </c>
      <c r="DC46">
        <f t="shared" si="8"/>
        <v>1056.75</v>
      </c>
    </row>
    <row r="47" spans="1:107" x14ac:dyDescent="0.2">
      <c r="A47">
        <f>ROW(Source!A83)</f>
        <v>83</v>
      </c>
      <c r="B47">
        <v>42184655</v>
      </c>
      <c r="C47">
        <v>42187317</v>
      </c>
      <c r="D47">
        <v>40679478</v>
      </c>
      <c r="E47">
        <v>1</v>
      </c>
      <c r="F47">
        <v>1</v>
      </c>
      <c r="G47">
        <v>27</v>
      </c>
      <c r="H47">
        <v>2</v>
      </c>
      <c r="I47" t="s">
        <v>291</v>
      </c>
      <c r="J47" t="s">
        <v>292</v>
      </c>
      <c r="K47" t="s">
        <v>293</v>
      </c>
      <c r="L47">
        <v>1368</v>
      </c>
      <c r="N47">
        <v>1011</v>
      </c>
      <c r="O47" t="s">
        <v>278</v>
      </c>
      <c r="P47" t="s">
        <v>278</v>
      </c>
      <c r="Q47">
        <v>1</v>
      </c>
      <c r="W47">
        <v>0</v>
      </c>
      <c r="X47">
        <v>351519474</v>
      </c>
      <c r="Y47">
        <v>1.1399999999999999</v>
      </c>
      <c r="AA47">
        <v>0</v>
      </c>
      <c r="AB47">
        <v>2020.59</v>
      </c>
      <c r="AC47">
        <v>458.56</v>
      </c>
      <c r="AD47">
        <v>0</v>
      </c>
      <c r="AE47">
        <v>0</v>
      </c>
      <c r="AF47">
        <v>2020.59</v>
      </c>
      <c r="AG47">
        <v>458.56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1.1399999999999999</v>
      </c>
      <c r="AU47" t="s">
        <v>3</v>
      </c>
      <c r="AV47">
        <v>0</v>
      </c>
      <c r="AW47">
        <v>2</v>
      </c>
      <c r="AX47">
        <v>42187329</v>
      </c>
      <c r="AY47">
        <v>1</v>
      </c>
      <c r="AZ47">
        <v>0</v>
      </c>
      <c r="BA47">
        <v>46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Y47*Source!I83</f>
        <v>5.3871839999999995</v>
      </c>
      <c r="CY47">
        <f t="shared" si="9"/>
        <v>2020.59</v>
      </c>
      <c r="CZ47">
        <f t="shared" si="10"/>
        <v>2020.59</v>
      </c>
      <c r="DA47">
        <f t="shared" si="11"/>
        <v>1</v>
      </c>
      <c r="DB47">
        <f t="shared" si="7"/>
        <v>2303.4699999999998</v>
      </c>
      <c r="DC47">
        <f t="shared" si="8"/>
        <v>522.76</v>
      </c>
    </row>
    <row r="48" spans="1:107" x14ac:dyDescent="0.2">
      <c r="A48">
        <f>ROW(Source!A83)</f>
        <v>83</v>
      </c>
      <c r="B48">
        <v>42184655</v>
      </c>
      <c r="C48">
        <v>42187317</v>
      </c>
      <c r="D48">
        <v>40679463</v>
      </c>
      <c r="E48">
        <v>1</v>
      </c>
      <c r="F48">
        <v>1</v>
      </c>
      <c r="G48">
        <v>27</v>
      </c>
      <c r="H48">
        <v>2</v>
      </c>
      <c r="I48" t="s">
        <v>309</v>
      </c>
      <c r="J48" t="s">
        <v>310</v>
      </c>
      <c r="K48" t="s">
        <v>311</v>
      </c>
      <c r="L48">
        <v>1368</v>
      </c>
      <c r="N48">
        <v>1011</v>
      </c>
      <c r="O48" t="s">
        <v>278</v>
      </c>
      <c r="P48" t="s">
        <v>278</v>
      </c>
      <c r="Q48">
        <v>1</v>
      </c>
      <c r="W48">
        <v>0</v>
      </c>
      <c r="X48">
        <v>-1930120489</v>
      </c>
      <c r="Y48">
        <v>8.9600000000000009</v>
      </c>
      <c r="AA48">
        <v>0</v>
      </c>
      <c r="AB48">
        <v>1261.8699999999999</v>
      </c>
      <c r="AC48">
        <v>530.02</v>
      </c>
      <c r="AD48">
        <v>0</v>
      </c>
      <c r="AE48">
        <v>0</v>
      </c>
      <c r="AF48">
        <v>1261.8699999999999</v>
      </c>
      <c r="AG48">
        <v>530.02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8.9600000000000009</v>
      </c>
      <c r="AU48" t="s">
        <v>3</v>
      </c>
      <c r="AV48">
        <v>0</v>
      </c>
      <c r="AW48">
        <v>2</v>
      </c>
      <c r="AX48">
        <v>42187330</v>
      </c>
      <c r="AY48">
        <v>1</v>
      </c>
      <c r="AZ48">
        <v>0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Y48*Source!I83</f>
        <v>42.341376000000004</v>
      </c>
      <c r="CY48">
        <f t="shared" si="9"/>
        <v>1261.8699999999999</v>
      </c>
      <c r="CZ48">
        <f t="shared" si="10"/>
        <v>1261.8699999999999</v>
      </c>
      <c r="DA48">
        <f t="shared" si="11"/>
        <v>1</v>
      </c>
      <c r="DB48">
        <f t="shared" si="7"/>
        <v>11306.36</v>
      </c>
      <c r="DC48">
        <f t="shared" si="8"/>
        <v>4748.9799999999996</v>
      </c>
    </row>
    <row r="49" spans="1:107" x14ac:dyDescent="0.2">
      <c r="A49">
        <f>ROW(Source!A83)</f>
        <v>83</v>
      </c>
      <c r="B49">
        <v>42184655</v>
      </c>
      <c r="C49">
        <v>42187317</v>
      </c>
      <c r="D49">
        <v>40679464</v>
      </c>
      <c r="E49">
        <v>1</v>
      </c>
      <c r="F49">
        <v>1</v>
      </c>
      <c r="G49">
        <v>27</v>
      </c>
      <c r="H49">
        <v>2</v>
      </c>
      <c r="I49" t="s">
        <v>312</v>
      </c>
      <c r="J49" t="s">
        <v>313</v>
      </c>
      <c r="K49" t="s">
        <v>314</v>
      </c>
      <c r="L49">
        <v>1368</v>
      </c>
      <c r="N49">
        <v>1011</v>
      </c>
      <c r="O49" t="s">
        <v>278</v>
      </c>
      <c r="P49" t="s">
        <v>278</v>
      </c>
      <c r="Q49">
        <v>1</v>
      </c>
      <c r="W49">
        <v>0</v>
      </c>
      <c r="X49">
        <v>1869206802</v>
      </c>
      <c r="Y49">
        <v>18.25</v>
      </c>
      <c r="AA49">
        <v>0</v>
      </c>
      <c r="AB49">
        <v>1827.95</v>
      </c>
      <c r="AC49">
        <v>720.55</v>
      </c>
      <c r="AD49">
        <v>0</v>
      </c>
      <c r="AE49">
        <v>0</v>
      </c>
      <c r="AF49">
        <v>1827.95</v>
      </c>
      <c r="AG49">
        <v>720.55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18.25</v>
      </c>
      <c r="AU49" t="s">
        <v>3</v>
      </c>
      <c r="AV49">
        <v>0</v>
      </c>
      <c r="AW49">
        <v>2</v>
      </c>
      <c r="AX49">
        <v>42187331</v>
      </c>
      <c r="AY49">
        <v>1</v>
      </c>
      <c r="AZ49">
        <v>0</v>
      </c>
      <c r="BA49">
        <v>48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Y49*Source!I83</f>
        <v>86.242199999999997</v>
      </c>
      <c r="CY49">
        <f t="shared" si="9"/>
        <v>1827.95</v>
      </c>
      <c r="CZ49">
        <f t="shared" si="10"/>
        <v>1827.95</v>
      </c>
      <c r="DA49">
        <f t="shared" si="11"/>
        <v>1</v>
      </c>
      <c r="DB49">
        <f t="shared" si="7"/>
        <v>33360.089999999997</v>
      </c>
      <c r="DC49">
        <f t="shared" si="8"/>
        <v>13150.04</v>
      </c>
    </row>
    <row r="50" spans="1:107" x14ac:dyDescent="0.2">
      <c r="A50">
        <f>ROW(Source!A83)</f>
        <v>83</v>
      </c>
      <c r="B50">
        <v>42184655</v>
      </c>
      <c r="C50">
        <v>42187317</v>
      </c>
      <c r="D50">
        <v>40679502</v>
      </c>
      <c r="E50">
        <v>1</v>
      </c>
      <c r="F50">
        <v>1</v>
      </c>
      <c r="G50">
        <v>27</v>
      </c>
      <c r="H50">
        <v>2</v>
      </c>
      <c r="I50" t="s">
        <v>294</v>
      </c>
      <c r="J50" t="s">
        <v>295</v>
      </c>
      <c r="K50" t="s">
        <v>296</v>
      </c>
      <c r="L50">
        <v>1368</v>
      </c>
      <c r="N50">
        <v>1011</v>
      </c>
      <c r="O50" t="s">
        <v>278</v>
      </c>
      <c r="P50" t="s">
        <v>278</v>
      </c>
      <c r="Q50">
        <v>1</v>
      </c>
      <c r="W50">
        <v>0</v>
      </c>
      <c r="X50">
        <v>41279402</v>
      </c>
      <c r="Y50">
        <v>2.2400000000000002</v>
      </c>
      <c r="AA50">
        <v>0</v>
      </c>
      <c r="AB50">
        <v>1412.71</v>
      </c>
      <c r="AC50">
        <v>641.32000000000005</v>
      </c>
      <c r="AD50">
        <v>0</v>
      </c>
      <c r="AE50">
        <v>0</v>
      </c>
      <c r="AF50">
        <v>1412.71</v>
      </c>
      <c r="AG50">
        <v>641.32000000000005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2.2400000000000002</v>
      </c>
      <c r="AU50" t="s">
        <v>3</v>
      </c>
      <c r="AV50">
        <v>0</v>
      </c>
      <c r="AW50">
        <v>2</v>
      </c>
      <c r="AX50">
        <v>42187332</v>
      </c>
      <c r="AY50">
        <v>1</v>
      </c>
      <c r="AZ50">
        <v>0</v>
      </c>
      <c r="BA50">
        <v>49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Y50*Source!I83</f>
        <v>10.585344000000001</v>
      </c>
      <c r="CY50">
        <f t="shared" si="9"/>
        <v>1412.71</v>
      </c>
      <c r="CZ50">
        <f t="shared" si="10"/>
        <v>1412.71</v>
      </c>
      <c r="DA50">
        <f t="shared" si="11"/>
        <v>1</v>
      </c>
      <c r="DB50">
        <f t="shared" si="7"/>
        <v>3164.47</v>
      </c>
      <c r="DC50">
        <f t="shared" si="8"/>
        <v>1436.56</v>
      </c>
    </row>
    <row r="51" spans="1:107" x14ac:dyDescent="0.2">
      <c r="A51">
        <f>ROW(Source!A83)</f>
        <v>83</v>
      </c>
      <c r="B51">
        <v>42184655</v>
      </c>
      <c r="C51">
        <v>42187317</v>
      </c>
      <c r="D51">
        <v>40679468</v>
      </c>
      <c r="E51">
        <v>1</v>
      </c>
      <c r="F51">
        <v>1</v>
      </c>
      <c r="G51">
        <v>27</v>
      </c>
      <c r="H51">
        <v>2</v>
      </c>
      <c r="I51" t="s">
        <v>297</v>
      </c>
      <c r="J51" t="s">
        <v>298</v>
      </c>
      <c r="K51" t="s">
        <v>299</v>
      </c>
      <c r="L51">
        <v>1368</v>
      </c>
      <c r="N51">
        <v>1011</v>
      </c>
      <c r="O51" t="s">
        <v>278</v>
      </c>
      <c r="P51" t="s">
        <v>278</v>
      </c>
      <c r="Q51">
        <v>1</v>
      </c>
      <c r="W51">
        <v>0</v>
      </c>
      <c r="X51">
        <v>-1991511797</v>
      </c>
      <c r="Y51">
        <v>0.65</v>
      </c>
      <c r="AA51">
        <v>0</v>
      </c>
      <c r="AB51">
        <v>1213.3399999999999</v>
      </c>
      <c r="AC51">
        <v>461.6</v>
      </c>
      <c r="AD51">
        <v>0</v>
      </c>
      <c r="AE51">
        <v>0</v>
      </c>
      <c r="AF51">
        <v>1213.3399999999999</v>
      </c>
      <c r="AG51">
        <v>461.6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0.65</v>
      </c>
      <c r="AU51" t="s">
        <v>3</v>
      </c>
      <c r="AV51">
        <v>0</v>
      </c>
      <c r="AW51">
        <v>2</v>
      </c>
      <c r="AX51">
        <v>42187333</v>
      </c>
      <c r="AY51">
        <v>1</v>
      </c>
      <c r="AZ51">
        <v>0</v>
      </c>
      <c r="BA51">
        <v>50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Y51*Source!I83</f>
        <v>3.0716399999999999</v>
      </c>
      <c r="CY51">
        <f t="shared" si="9"/>
        <v>1213.3399999999999</v>
      </c>
      <c r="CZ51">
        <f t="shared" si="10"/>
        <v>1213.3399999999999</v>
      </c>
      <c r="DA51">
        <f t="shared" si="11"/>
        <v>1</v>
      </c>
      <c r="DB51">
        <f t="shared" si="7"/>
        <v>788.67</v>
      </c>
      <c r="DC51">
        <f t="shared" si="8"/>
        <v>300.04000000000002</v>
      </c>
    </row>
    <row r="52" spans="1:107" x14ac:dyDescent="0.2">
      <c r="A52">
        <f>ROW(Source!A83)</f>
        <v>83</v>
      </c>
      <c r="B52">
        <v>42184655</v>
      </c>
      <c r="C52">
        <v>42187317</v>
      </c>
      <c r="D52">
        <v>40681457</v>
      </c>
      <c r="E52">
        <v>1</v>
      </c>
      <c r="F52">
        <v>1</v>
      </c>
      <c r="G52">
        <v>27</v>
      </c>
      <c r="H52">
        <v>3</v>
      </c>
      <c r="I52" t="s">
        <v>315</v>
      </c>
      <c r="J52" t="s">
        <v>316</v>
      </c>
      <c r="K52" t="s">
        <v>317</v>
      </c>
      <c r="L52">
        <v>1339</v>
      </c>
      <c r="N52">
        <v>1007</v>
      </c>
      <c r="O52" t="s">
        <v>38</v>
      </c>
      <c r="P52" t="s">
        <v>38</v>
      </c>
      <c r="Q52">
        <v>1</v>
      </c>
      <c r="W52">
        <v>0</v>
      </c>
      <c r="X52">
        <v>811973350</v>
      </c>
      <c r="Y52">
        <v>126</v>
      </c>
      <c r="AA52">
        <v>1763.75</v>
      </c>
      <c r="AB52">
        <v>0</v>
      </c>
      <c r="AC52">
        <v>0</v>
      </c>
      <c r="AD52">
        <v>0</v>
      </c>
      <c r="AE52">
        <v>1763.75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126</v>
      </c>
      <c r="AU52" t="s">
        <v>3</v>
      </c>
      <c r="AV52">
        <v>0</v>
      </c>
      <c r="AW52">
        <v>2</v>
      </c>
      <c r="AX52">
        <v>42187334</v>
      </c>
      <c r="AY52">
        <v>1</v>
      </c>
      <c r="AZ52">
        <v>0</v>
      </c>
      <c r="BA52">
        <v>51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Y52*Source!I83</f>
        <v>595.42560000000003</v>
      </c>
      <c r="CY52">
        <f>AA52</f>
        <v>1763.75</v>
      </c>
      <c r="CZ52">
        <f>AE52</f>
        <v>1763.75</v>
      </c>
      <c r="DA52">
        <f>AI52</f>
        <v>1</v>
      </c>
      <c r="DB52">
        <f t="shared" si="7"/>
        <v>222232.5</v>
      </c>
      <c r="DC52">
        <f t="shared" si="8"/>
        <v>0</v>
      </c>
    </row>
    <row r="53" spans="1:107" x14ac:dyDescent="0.2">
      <c r="A53">
        <f>ROW(Source!A83)</f>
        <v>83</v>
      </c>
      <c r="B53">
        <v>42184655</v>
      </c>
      <c r="C53">
        <v>42187317</v>
      </c>
      <c r="D53">
        <v>40682177</v>
      </c>
      <c r="E53">
        <v>1</v>
      </c>
      <c r="F53">
        <v>1</v>
      </c>
      <c r="G53">
        <v>27</v>
      </c>
      <c r="H53">
        <v>3</v>
      </c>
      <c r="I53" t="s">
        <v>303</v>
      </c>
      <c r="J53" t="s">
        <v>304</v>
      </c>
      <c r="K53" t="s">
        <v>305</v>
      </c>
      <c r="L53">
        <v>1339</v>
      </c>
      <c r="N53">
        <v>1007</v>
      </c>
      <c r="O53" t="s">
        <v>38</v>
      </c>
      <c r="P53" t="s">
        <v>38</v>
      </c>
      <c r="Q53">
        <v>1</v>
      </c>
      <c r="W53">
        <v>0</v>
      </c>
      <c r="X53">
        <v>2028445372</v>
      </c>
      <c r="Y53">
        <v>7</v>
      </c>
      <c r="AA53">
        <v>35.25</v>
      </c>
      <c r="AB53">
        <v>0</v>
      </c>
      <c r="AC53">
        <v>0</v>
      </c>
      <c r="AD53">
        <v>0</v>
      </c>
      <c r="AE53">
        <v>35.25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7</v>
      </c>
      <c r="AU53" t="s">
        <v>3</v>
      </c>
      <c r="AV53">
        <v>0</v>
      </c>
      <c r="AW53">
        <v>2</v>
      </c>
      <c r="AX53">
        <v>42187335</v>
      </c>
      <c r="AY53">
        <v>1</v>
      </c>
      <c r="AZ53">
        <v>0</v>
      </c>
      <c r="BA53">
        <v>52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Y53*Source!I83</f>
        <v>33.0792</v>
      </c>
      <c r="CY53">
        <f>AA53</f>
        <v>35.25</v>
      </c>
      <c r="CZ53">
        <f>AE53</f>
        <v>35.25</v>
      </c>
      <c r="DA53">
        <f>AI53</f>
        <v>1</v>
      </c>
      <c r="DB53">
        <f t="shared" si="7"/>
        <v>246.75</v>
      </c>
      <c r="DC53">
        <f t="shared" si="8"/>
        <v>0</v>
      </c>
    </row>
    <row r="54" spans="1:107" x14ac:dyDescent="0.2">
      <c r="A54">
        <f>ROW(Source!A84)</f>
        <v>84</v>
      </c>
      <c r="B54">
        <v>42184655</v>
      </c>
      <c r="C54">
        <v>42187336</v>
      </c>
      <c r="D54">
        <v>40662784</v>
      </c>
      <c r="E54">
        <v>27</v>
      </c>
      <c r="F54">
        <v>1</v>
      </c>
      <c r="G54">
        <v>27</v>
      </c>
      <c r="H54">
        <v>1</v>
      </c>
      <c r="I54" t="s">
        <v>272</v>
      </c>
      <c r="J54" t="s">
        <v>3</v>
      </c>
      <c r="K54" t="s">
        <v>273</v>
      </c>
      <c r="L54">
        <v>1191</v>
      </c>
      <c r="N54">
        <v>1013</v>
      </c>
      <c r="O54" t="s">
        <v>274</v>
      </c>
      <c r="P54" t="s">
        <v>274</v>
      </c>
      <c r="Q54">
        <v>1</v>
      </c>
      <c r="W54">
        <v>0</v>
      </c>
      <c r="X54">
        <v>476480486</v>
      </c>
      <c r="Y54">
        <v>10.3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10.3</v>
      </c>
      <c r="AU54" t="s">
        <v>3</v>
      </c>
      <c r="AV54">
        <v>1</v>
      </c>
      <c r="AW54">
        <v>2</v>
      </c>
      <c r="AX54">
        <v>42187342</v>
      </c>
      <c r="AY54">
        <v>1</v>
      </c>
      <c r="AZ54">
        <v>0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Y54*Source!I84</f>
        <v>247.20000000000002</v>
      </c>
      <c r="CY54">
        <f>AD54</f>
        <v>0</v>
      </c>
      <c r="CZ54">
        <f>AH54</f>
        <v>0</v>
      </c>
      <c r="DA54">
        <f>AL54</f>
        <v>1</v>
      </c>
      <c r="DB54">
        <f t="shared" si="7"/>
        <v>0</v>
      </c>
      <c r="DC54">
        <f t="shared" si="8"/>
        <v>0</v>
      </c>
    </row>
    <row r="55" spans="1:107" x14ac:dyDescent="0.2">
      <c r="A55">
        <f>ROW(Source!A84)</f>
        <v>84</v>
      </c>
      <c r="B55">
        <v>42184655</v>
      </c>
      <c r="C55">
        <v>42187336</v>
      </c>
      <c r="D55">
        <v>40679463</v>
      </c>
      <c r="E55">
        <v>1</v>
      </c>
      <c r="F55">
        <v>1</v>
      </c>
      <c r="G55">
        <v>27</v>
      </c>
      <c r="H55">
        <v>2</v>
      </c>
      <c r="I55" t="s">
        <v>309</v>
      </c>
      <c r="J55" t="s">
        <v>310</v>
      </c>
      <c r="K55" t="s">
        <v>311</v>
      </c>
      <c r="L55">
        <v>1368</v>
      </c>
      <c r="N55">
        <v>1011</v>
      </c>
      <c r="O55" t="s">
        <v>278</v>
      </c>
      <c r="P55" t="s">
        <v>278</v>
      </c>
      <c r="Q55">
        <v>1</v>
      </c>
      <c r="W55">
        <v>0</v>
      </c>
      <c r="X55">
        <v>-1930120489</v>
      </c>
      <c r="Y55">
        <v>0.89</v>
      </c>
      <c r="AA55">
        <v>0</v>
      </c>
      <c r="AB55">
        <v>1261.8699999999999</v>
      </c>
      <c r="AC55">
        <v>530.02</v>
      </c>
      <c r="AD55">
        <v>0</v>
      </c>
      <c r="AE55">
        <v>0</v>
      </c>
      <c r="AF55">
        <v>1261.8699999999999</v>
      </c>
      <c r="AG55">
        <v>530.02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0.89</v>
      </c>
      <c r="AU55" t="s">
        <v>3</v>
      </c>
      <c r="AV55">
        <v>0</v>
      </c>
      <c r="AW55">
        <v>2</v>
      </c>
      <c r="AX55">
        <v>42187343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Y55*Source!I84</f>
        <v>21.36</v>
      </c>
      <c r="CY55">
        <f>AB55</f>
        <v>1261.8699999999999</v>
      </c>
      <c r="CZ55">
        <f>AF55</f>
        <v>1261.8699999999999</v>
      </c>
      <c r="DA55">
        <f>AJ55</f>
        <v>1</v>
      </c>
      <c r="DB55">
        <f t="shared" si="7"/>
        <v>1123.06</v>
      </c>
      <c r="DC55">
        <f t="shared" si="8"/>
        <v>471.72</v>
      </c>
    </row>
    <row r="56" spans="1:107" x14ac:dyDescent="0.2">
      <c r="A56">
        <f>ROW(Source!A84)</f>
        <v>84</v>
      </c>
      <c r="B56">
        <v>42184655</v>
      </c>
      <c r="C56">
        <v>42187336</v>
      </c>
      <c r="D56">
        <v>40680270</v>
      </c>
      <c r="E56">
        <v>1</v>
      </c>
      <c r="F56">
        <v>1</v>
      </c>
      <c r="G56">
        <v>27</v>
      </c>
      <c r="H56">
        <v>3</v>
      </c>
      <c r="I56" t="s">
        <v>318</v>
      </c>
      <c r="J56" t="s">
        <v>319</v>
      </c>
      <c r="K56" t="s">
        <v>320</v>
      </c>
      <c r="L56">
        <v>1348</v>
      </c>
      <c r="N56">
        <v>1009</v>
      </c>
      <c r="O56" t="s">
        <v>68</v>
      </c>
      <c r="P56" t="s">
        <v>68</v>
      </c>
      <c r="Q56">
        <v>1000</v>
      </c>
      <c r="W56">
        <v>0</v>
      </c>
      <c r="X56">
        <v>-298244648</v>
      </c>
      <c r="Y56">
        <v>0.06</v>
      </c>
      <c r="AA56">
        <v>25888.1</v>
      </c>
      <c r="AB56">
        <v>0</v>
      </c>
      <c r="AC56">
        <v>0</v>
      </c>
      <c r="AD56">
        <v>0</v>
      </c>
      <c r="AE56">
        <v>25888.1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0.06</v>
      </c>
      <c r="AU56" t="s">
        <v>3</v>
      </c>
      <c r="AV56">
        <v>0</v>
      </c>
      <c r="AW56">
        <v>2</v>
      </c>
      <c r="AX56">
        <v>42187344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Y56*Source!I84</f>
        <v>1.44</v>
      </c>
      <c r="CY56">
        <f>AA56</f>
        <v>25888.1</v>
      </c>
      <c r="CZ56">
        <f>AE56</f>
        <v>25888.1</v>
      </c>
      <c r="DA56">
        <f>AI56</f>
        <v>1</v>
      </c>
      <c r="DB56">
        <f t="shared" si="7"/>
        <v>1553.29</v>
      </c>
      <c r="DC56">
        <f t="shared" si="8"/>
        <v>0</v>
      </c>
    </row>
    <row r="57" spans="1:107" x14ac:dyDescent="0.2">
      <c r="A57">
        <f>ROW(Source!A84)</f>
        <v>84</v>
      </c>
      <c r="B57">
        <v>42184655</v>
      </c>
      <c r="C57">
        <v>42187336</v>
      </c>
      <c r="D57">
        <v>40683377</v>
      </c>
      <c r="E57">
        <v>1</v>
      </c>
      <c r="F57">
        <v>1</v>
      </c>
      <c r="G57">
        <v>27</v>
      </c>
      <c r="H57">
        <v>3</v>
      </c>
      <c r="I57" t="s">
        <v>66</v>
      </c>
      <c r="J57" t="s">
        <v>69</v>
      </c>
      <c r="K57" t="s">
        <v>67</v>
      </c>
      <c r="L57">
        <v>1348</v>
      </c>
      <c r="N57">
        <v>1009</v>
      </c>
      <c r="O57" t="s">
        <v>68</v>
      </c>
      <c r="P57" t="s">
        <v>68</v>
      </c>
      <c r="Q57">
        <v>1000</v>
      </c>
      <c r="W57">
        <v>1</v>
      </c>
      <c r="X57">
        <v>-740831190</v>
      </c>
      <c r="Y57">
        <v>-7.14</v>
      </c>
      <c r="AA57">
        <v>2652.04</v>
      </c>
      <c r="AB57">
        <v>0</v>
      </c>
      <c r="AC57">
        <v>0</v>
      </c>
      <c r="AD57">
        <v>0</v>
      </c>
      <c r="AE57">
        <v>2652.04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-7.14</v>
      </c>
      <c r="AU57" t="s">
        <v>3</v>
      </c>
      <c r="AV57">
        <v>0</v>
      </c>
      <c r="AW57">
        <v>2</v>
      </c>
      <c r="AX57">
        <v>42187345</v>
      </c>
      <c r="AY57">
        <v>1</v>
      </c>
      <c r="AZ57">
        <v>6144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Y57*Source!I84</f>
        <v>-171.35999999999999</v>
      </c>
      <c r="CY57">
        <f>AA57</f>
        <v>2652.04</v>
      </c>
      <c r="CZ57">
        <f>AE57</f>
        <v>2652.04</v>
      </c>
      <c r="DA57">
        <f>AI57</f>
        <v>1</v>
      </c>
      <c r="DB57">
        <f t="shared" si="7"/>
        <v>-18935.57</v>
      </c>
      <c r="DC57">
        <f t="shared" si="8"/>
        <v>0</v>
      </c>
    </row>
    <row r="58" spans="1:107" x14ac:dyDescent="0.2">
      <c r="A58">
        <f>ROW(Source!A84)</f>
        <v>84</v>
      </c>
      <c r="B58">
        <v>42184655</v>
      </c>
      <c r="C58">
        <v>42187336</v>
      </c>
      <c r="D58">
        <v>40683377</v>
      </c>
      <c r="E58">
        <v>1</v>
      </c>
      <c r="F58">
        <v>1</v>
      </c>
      <c r="G58">
        <v>27</v>
      </c>
      <c r="H58">
        <v>3</v>
      </c>
      <c r="I58" t="s">
        <v>66</v>
      </c>
      <c r="J58" t="s">
        <v>69</v>
      </c>
      <c r="K58" t="s">
        <v>67</v>
      </c>
      <c r="L58">
        <v>1348</v>
      </c>
      <c r="N58">
        <v>1009</v>
      </c>
      <c r="O58" t="s">
        <v>68</v>
      </c>
      <c r="P58" t="s">
        <v>68</v>
      </c>
      <c r="Q58">
        <v>1000</v>
      </c>
      <c r="W58">
        <v>1</v>
      </c>
      <c r="X58">
        <v>-740831190</v>
      </c>
      <c r="Y58">
        <v>11.9</v>
      </c>
      <c r="AA58">
        <v>2652.04</v>
      </c>
      <c r="AB58">
        <v>0</v>
      </c>
      <c r="AC58">
        <v>0</v>
      </c>
      <c r="AD58">
        <v>0</v>
      </c>
      <c r="AE58">
        <v>2652.04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3</v>
      </c>
      <c r="AT58">
        <v>11.9</v>
      </c>
      <c r="AU58" t="s">
        <v>3</v>
      </c>
      <c r="AV58">
        <v>0</v>
      </c>
      <c r="AW58">
        <v>1</v>
      </c>
      <c r="AX58">
        <v>-1</v>
      </c>
      <c r="AY58">
        <v>0</v>
      </c>
      <c r="AZ58">
        <v>0</v>
      </c>
      <c r="BA58" t="s">
        <v>3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Y58*Source!I84</f>
        <v>285.60000000000002</v>
      </c>
      <c r="CY58">
        <f>AA58</f>
        <v>2652.04</v>
      </c>
      <c r="CZ58">
        <f>AE58</f>
        <v>2652.04</v>
      </c>
      <c r="DA58">
        <f>AI58</f>
        <v>1</v>
      </c>
      <c r="DB58">
        <f t="shared" si="7"/>
        <v>31559.279999999999</v>
      </c>
      <c r="DC58">
        <f t="shared" si="8"/>
        <v>0</v>
      </c>
    </row>
    <row r="59" spans="1:107" x14ac:dyDescent="0.2">
      <c r="A59">
        <f>ROW(Source!A124)</f>
        <v>124</v>
      </c>
      <c r="B59">
        <v>42184655</v>
      </c>
      <c r="C59">
        <v>42186859</v>
      </c>
      <c r="D59">
        <v>40662784</v>
      </c>
      <c r="E59">
        <v>27</v>
      </c>
      <c r="F59">
        <v>1</v>
      </c>
      <c r="G59">
        <v>27</v>
      </c>
      <c r="H59">
        <v>1</v>
      </c>
      <c r="I59" t="s">
        <v>272</v>
      </c>
      <c r="J59" t="s">
        <v>3</v>
      </c>
      <c r="K59" t="s">
        <v>273</v>
      </c>
      <c r="L59">
        <v>1191</v>
      </c>
      <c r="N59">
        <v>1013</v>
      </c>
      <c r="O59" t="s">
        <v>274</v>
      </c>
      <c r="P59" t="s">
        <v>274</v>
      </c>
      <c r="Q59">
        <v>1</v>
      </c>
      <c r="W59">
        <v>0</v>
      </c>
      <c r="X59">
        <v>476480486</v>
      </c>
      <c r="Y59">
        <v>76.7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76.7</v>
      </c>
      <c r="AU59" t="s">
        <v>3</v>
      </c>
      <c r="AV59">
        <v>1</v>
      </c>
      <c r="AW59">
        <v>2</v>
      </c>
      <c r="AX59">
        <v>42186865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Y59*Source!I124</f>
        <v>395.77200000000005</v>
      </c>
      <c r="CY59">
        <f>AD59</f>
        <v>0</v>
      </c>
      <c r="CZ59">
        <f>AH59</f>
        <v>0</v>
      </c>
      <c r="DA59">
        <f>AL59</f>
        <v>1</v>
      </c>
      <c r="DB59">
        <f t="shared" si="7"/>
        <v>0</v>
      </c>
      <c r="DC59">
        <f t="shared" si="8"/>
        <v>0</v>
      </c>
    </row>
    <row r="60" spans="1:107" x14ac:dyDescent="0.2">
      <c r="A60">
        <f>ROW(Source!A125)</f>
        <v>125</v>
      </c>
      <c r="B60">
        <v>42184655</v>
      </c>
      <c r="C60">
        <v>42319713</v>
      </c>
      <c r="D60">
        <v>40662784</v>
      </c>
      <c r="E60">
        <v>27</v>
      </c>
      <c r="F60">
        <v>1</v>
      </c>
      <c r="G60">
        <v>27</v>
      </c>
      <c r="H60">
        <v>1</v>
      </c>
      <c r="I60" t="s">
        <v>272</v>
      </c>
      <c r="J60" t="s">
        <v>3</v>
      </c>
      <c r="K60" t="s">
        <v>273</v>
      </c>
      <c r="L60">
        <v>1191</v>
      </c>
      <c r="N60">
        <v>1013</v>
      </c>
      <c r="O60" t="s">
        <v>274</v>
      </c>
      <c r="P60" t="s">
        <v>274</v>
      </c>
      <c r="Q60">
        <v>1</v>
      </c>
      <c r="W60">
        <v>0</v>
      </c>
      <c r="X60">
        <v>476480486</v>
      </c>
      <c r="Y60">
        <v>1.02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1.02</v>
      </c>
      <c r="AU60" t="s">
        <v>3</v>
      </c>
      <c r="AV60">
        <v>1</v>
      </c>
      <c r="AW60">
        <v>2</v>
      </c>
      <c r="AX60">
        <v>42319714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Y60*Source!I125</f>
        <v>8.0842752000000004</v>
      </c>
      <c r="CY60">
        <f>AD60</f>
        <v>0</v>
      </c>
      <c r="CZ60">
        <f>AH60</f>
        <v>0</v>
      </c>
      <c r="DA60">
        <f>AL60</f>
        <v>1</v>
      </c>
      <c r="DB60">
        <f t="shared" si="7"/>
        <v>0</v>
      </c>
      <c r="DC60">
        <f t="shared" si="8"/>
        <v>0</v>
      </c>
    </row>
    <row r="61" spans="1:107" x14ac:dyDescent="0.2">
      <c r="A61">
        <f>ROW(Source!A126)</f>
        <v>126</v>
      </c>
      <c r="B61">
        <v>42184655</v>
      </c>
      <c r="C61">
        <v>42186866</v>
      </c>
      <c r="D61">
        <v>40679276</v>
      </c>
      <c r="E61">
        <v>1</v>
      </c>
      <c r="F61">
        <v>1</v>
      </c>
      <c r="G61">
        <v>27</v>
      </c>
      <c r="H61">
        <v>2</v>
      </c>
      <c r="I61" t="s">
        <v>321</v>
      </c>
      <c r="J61" t="s">
        <v>322</v>
      </c>
      <c r="K61" t="s">
        <v>323</v>
      </c>
      <c r="L61">
        <v>1368</v>
      </c>
      <c r="N61">
        <v>1011</v>
      </c>
      <c r="O61" t="s">
        <v>278</v>
      </c>
      <c r="P61" t="s">
        <v>278</v>
      </c>
      <c r="Q61">
        <v>1</v>
      </c>
      <c r="W61">
        <v>0</v>
      </c>
      <c r="X61">
        <v>770341722</v>
      </c>
      <c r="Y61">
        <v>5.3699999999999998E-2</v>
      </c>
      <c r="AA61">
        <v>0</v>
      </c>
      <c r="AB61">
        <v>1494.43</v>
      </c>
      <c r="AC61">
        <v>481.21</v>
      </c>
      <c r="AD61">
        <v>0</v>
      </c>
      <c r="AE61">
        <v>0</v>
      </c>
      <c r="AF61">
        <v>1494.43</v>
      </c>
      <c r="AG61">
        <v>481.21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5.3699999999999998E-2</v>
      </c>
      <c r="AU61" t="s">
        <v>3</v>
      </c>
      <c r="AV61">
        <v>0</v>
      </c>
      <c r="AW61">
        <v>2</v>
      </c>
      <c r="AX61">
        <v>42186872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Y61*Source!I126</f>
        <v>4.5654451199999997</v>
      </c>
      <c r="CY61">
        <f t="shared" ref="CY61:CY67" si="12">AB61</f>
        <v>1494.43</v>
      </c>
      <c r="CZ61">
        <f t="shared" ref="CZ61:CZ67" si="13">AF61</f>
        <v>1494.43</v>
      </c>
      <c r="DA61">
        <f t="shared" ref="DA61:DA67" si="14">AJ61</f>
        <v>1</v>
      </c>
      <c r="DB61">
        <f t="shared" si="7"/>
        <v>80.25</v>
      </c>
      <c r="DC61">
        <f t="shared" si="8"/>
        <v>25.84</v>
      </c>
    </row>
    <row r="62" spans="1:107" x14ac:dyDescent="0.2">
      <c r="A62">
        <f>ROW(Source!A127)</f>
        <v>127</v>
      </c>
      <c r="B62">
        <v>42184655</v>
      </c>
      <c r="C62">
        <v>42319715</v>
      </c>
      <c r="D62">
        <v>40680074</v>
      </c>
      <c r="E62">
        <v>1</v>
      </c>
      <c r="F62">
        <v>1</v>
      </c>
      <c r="G62">
        <v>27</v>
      </c>
      <c r="H62">
        <v>2</v>
      </c>
      <c r="I62" t="s">
        <v>324</v>
      </c>
      <c r="J62" t="s">
        <v>325</v>
      </c>
      <c r="K62" t="s">
        <v>326</v>
      </c>
      <c r="L62">
        <v>1368</v>
      </c>
      <c r="N62">
        <v>1011</v>
      </c>
      <c r="O62" t="s">
        <v>278</v>
      </c>
      <c r="P62" t="s">
        <v>278</v>
      </c>
      <c r="Q62">
        <v>1</v>
      </c>
      <c r="W62">
        <v>0</v>
      </c>
      <c r="X62">
        <v>238809398</v>
      </c>
      <c r="Y62">
        <v>5.3999999999999999E-2</v>
      </c>
      <c r="AA62">
        <v>0</v>
      </c>
      <c r="AB62">
        <v>1009.4</v>
      </c>
      <c r="AC62">
        <v>316.82</v>
      </c>
      <c r="AD62">
        <v>0</v>
      </c>
      <c r="AE62">
        <v>0</v>
      </c>
      <c r="AF62">
        <v>1009.4</v>
      </c>
      <c r="AG62">
        <v>316.82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5.3999999999999999E-2</v>
      </c>
      <c r="AU62" t="s">
        <v>3</v>
      </c>
      <c r="AV62">
        <v>0</v>
      </c>
      <c r="AW62">
        <v>2</v>
      </c>
      <c r="AX62">
        <v>42319716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Y62*Source!I127</f>
        <v>0.42799103999999999</v>
      </c>
      <c r="CY62">
        <f t="shared" si="12"/>
        <v>1009.4</v>
      </c>
      <c r="CZ62">
        <f t="shared" si="13"/>
        <v>1009.4</v>
      </c>
      <c r="DA62">
        <f t="shared" si="14"/>
        <v>1</v>
      </c>
      <c r="DB62">
        <f t="shared" si="7"/>
        <v>54.51</v>
      </c>
      <c r="DC62">
        <f t="shared" si="8"/>
        <v>17.11</v>
      </c>
    </row>
    <row r="63" spans="1:107" x14ac:dyDescent="0.2">
      <c r="A63">
        <f>ROW(Source!A127)</f>
        <v>127</v>
      </c>
      <c r="B63">
        <v>42184655</v>
      </c>
      <c r="C63">
        <v>42319715</v>
      </c>
      <c r="D63">
        <v>40680075</v>
      </c>
      <c r="E63">
        <v>1</v>
      </c>
      <c r="F63">
        <v>1</v>
      </c>
      <c r="G63">
        <v>27</v>
      </c>
      <c r="H63">
        <v>2</v>
      </c>
      <c r="I63" t="s">
        <v>282</v>
      </c>
      <c r="J63" t="s">
        <v>283</v>
      </c>
      <c r="K63" t="s">
        <v>284</v>
      </c>
      <c r="L63">
        <v>1368</v>
      </c>
      <c r="N63">
        <v>1011</v>
      </c>
      <c r="O63" t="s">
        <v>278</v>
      </c>
      <c r="P63" t="s">
        <v>278</v>
      </c>
      <c r="Q63">
        <v>1</v>
      </c>
      <c r="W63">
        <v>0</v>
      </c>
      <c r="X63">
        <v>-1786200580</v>
      </c>
      <c r="Y63">
        <v>5.5E-2</v>
      </c>
      <c r="AA63">
        <v>0</v>
      </c>
      <c r="AB63">
        <v>1014.12</v>
      </c>
      <c r="AC63">
        <v>317.13</v>
      </c>
      <c r="AD63">
        <v>0</v>
      </c>
      <c r="AE63">
        <v>0</v>
      </c>
      <c r="AF63">
        <v>1014.12</v>
      </c>
      <c r="AG63">
        <v>317.13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5.5E-2</v>
      </c>
      <c r="AU63" t="s">
        <v>3</v>
      </c>
      <c r="AV63">
        <v>0</v>
      </c>
      <c r="AW63">
        <v>2</v>
      </c>
      <c r="AX63">
        <v>42319717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Y63*Source!I127</f>
        <v>0.43591680000000005</v>
      </c>
      <c r="CY63">
        <f t="shared" si="12"/>
        <v>1014.12</v>
      </c>
      <c r="CZ63">
        <f t="shared" si="13"/>
        <v>1014.12</v>
      </c>
      <c r="DA63">
        <f t="shared" si="14"/>
        <v>1</v>
      </c>
      <c r="DB63">
        <f t="shared" si="7"/>
        <v>55.78</v>
      </c>
      <c r="DC63">
        <f t="shared" si="8"/>
        <v>17.440000000000001</v>
      </c>
    </row>
    <row r="64" spans="1:107" x14ac:dyDescent="0.2">
      <c r="A64">
        <f>ROW(Source!A128)</f>
        <v>128</v>
      </c>
      <c r="B64">
        <v>42184655</v>
      </c>
      <c r="C64">
        <v>42186873</v>
      </c>
      <c r="D64">
        <v>40680074</v>
      </c>
      <c r="E64">
        <v>1</v>
      </c>
      <c r="F64">
        <v>1</v>
      </c>
      <c r="G64">
        <v>27</v>
      </c>
      <c r="H64">
        <v>2</v>
      </c>
      <c r="I64" t="s">
        <v>324</v>
      </c>
      <c r="J64" t="s">
        <v>325</v>
      </c>
      <c r="K64" t="s">
        <v>326</v>
      </c>
      <c r="L64">
        <v>1368</v>
      </c>
      <c r="N64">
        <v>1011</v>
      </c>
      <c r="O64" t="s">
        <v>278</v>
      </c>
      <c r="P64" t="s">
        <v>278</v>
      </c>
      <c r="Q64">
        <v>1</v>
      </c>
      <c r="W64">
        <v>0</v>
      </c>
      <c r="X64">
        <v>238809398</v>
      </c>
      <c r="Y64">
        <v>0.02</v>
      </c>
      <c r="AA64">
        <v>0</v>
      </c>
      <c r="AB64">
        <v>1009.4</v>
      </c>
      <c r="AC64">
        <v>316.82</v>
      </c>
      <c r="AD64">
        <v>0</v>
      </c>
      <c r="AE64">
        <v>0</v>
      </c>
      <c r="AF64">
        <v>1009.4</v>
      </c>
      <c r="AG64">
        <v>316.82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0.02</v>
      </c>
      <c r="AU64" t="s">
        <v>3</v>
      </c>
      <c r="AV64">
        <v>0</v>
      </c>
      <c r="AW64">
        <v>2</v>
      </c>
      <c r="AX64">
        <v>42186884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Y64*Source!I128</f>
        <v>1.7003520000000001</v>
      </c>
      <c r="CY64">
        <f t="shared" si="12"/>
        <v>1009.4</v>
      </c>
      <c r="CZ64">
        <f t="shared" si="13"/>
        <v>1009.4</v>
      </c>
      <c r="DA64">
        <f t="shared" si="14"/>
        <v>1</v>
      </c>
      <c r="DB64">
        <f t="shared" si="7"/>
        <v>20.190000000000001</v>
      </c>
      <c r="DC64">
        <f t="shared" si="8"/>
        <v>6.34</v>
      </c>
    </row>
    <row r="65" spans="1:107" x14ac:dyDescent="0.2">
      <c r="A65">
        <f>ROW(Source!A128)</f>
        <v>128</v>
      </c>
      <c r="B65">
        <v>42184655</v>
      </c>
      <c r="C65">
        <v>42186873</v>
      </c>
      <c r="D65">
        <v>40680075</v>
      </c>
      <c r="E65">
        <v>1</v>
      </c>
      <c r="F65">
        <v>1</v>
      </c>
      <c r="G65">
        <v>27</v>
      </c>
      <c r="H65">
        <v>2</v>
      </c>
      <c r="I65" t="s">
        <v>282</v>
      </c>
      <c r="J65" t="s">
        <v>283</v>
      </c>
      <c r="K65" t="s">
        <v>284</v>
      </c>
      <c r="L65">
        <v>1368</v>
      </c>
      <c r="N65">
        <v>1011</v>
      </c>
      <c r="O65" t="s">
        <v>278</v>
      </c>
      <c r="P65" t="s">
        <v>278</v>
      </c>
      <c r="Q65">
        <v>1</v>
      </c>
      <c r="W65">
        <v>0</v>
      </c>
      <c r="X65">
        <v>-1786200580</v>
      </c>
      <c r="Y65">
        <v>1.7999999999999999E-2</v>
      </c>
      <c r="AA65">
        <v>0</v>
      </c>
      <c r="AB65">
        <v>1014.12</v>
      </c>
      <c r="AC65">
        <v>317.13</v>
      </c>
      <c r="AD65">
        <v>0</v>
      </c>
      <c r="AE65">
        <v>0</v>
      </c>
      <c r="AF65">
        <v>1014.12</v>
      </c>
      <c r="AG65">
        <v>317.13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1.7999999999999999E-2</v>
      </c>
      <c r="AU65" t="s">
        <v>3</v>
      </c>
      <c r="AV65">
        <v>0</v>
      </c>
      <c r="AW65">
        <v>2</v>
      </c>
      <c r="AX65">
        <v>42186885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Y65*Source!I128</f>
        <v>1.5303167999999998</v>
      </c>
      <c r="CY65">
        <f t="shared" si="12"/>
        <v>1014.12</v>
      </c>
      <c r="CZ65">
        <f t="shared" si="13"/>
        <v>1014.12</v>
      </c>
      <c r="DA65">
        <f t="shared" si="14"/>
        <v>1</v>
      </c>
      <c r="DB65">
        <f t="shared" si="7"/>
        <v>18.25</v>
      </c>
      <c r="DC65">
        <f t="shared" si="8"/>
        <v>5.71</v>
      </c>
    </row>
    <row r="66" spans="1:107" x14ac:dyDescent="0.2">
      <c r="A66">
        <f>ROW(Source!A129)</f>
        <v>129</v>
      </c>
      <c r="B66">
        <v>42184655</v>
      </c>
      <c r="C66">
        <v>42186886</v>
      </c>
      <c r="D66">
        <v>40680074</v>
      </c>
      <c r="E66">
        <v>1</v>
      </c>
      <c r="F66">
        <v>1</v>
      </c>
      <c r="G66">
        <v>27</v>
      </c>
      <c r="H66">
        <v>2</v>
      </c>
      <c r="I66" t="s">
        <v>324</v>
      </c>
      <c r="J66" t="s">
        <v>325</v>
      </c>
      <c r="K66" t="s">
        <v>326</v>
      </c>
      <c r="L66">
        <v>1368</v>
      </c>
      <c r="N66">
        <v>1011</v>
      </c>
      <c r="O66" t="s">
        <v>278</v>
      </c>
      <c r="P66" t="s">
        <v>278</v>
      </c>
      <c r="Q66">
        <v>1</v>
      </c>
      <c r="W66">
        <v>0</v>
      </c>
      <c r="X66">
        <v>238809398</v>
      </c>
      <c r="Y66">
        <v>0.51</v>
      </c>
      <c r="AA66">
        <v>0</v>
      </c>
      <c r="AB66">
        <v>1009.4</v>
      </c>
      <c r="AC66">
        <v>316.82</v>
      </c>
      <c r="AD66">
        <v>0</v>
      </c>
      <c r="AE66">
        <v>0</v>
      </c>
      <c r="AF66">
        <v>1009.4</v>
      </c>
      <c r="AG66">
        <v>316.82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0.01</v>
      </c>
      <c r="AU66" t="s">
        <v>165</v>
      </c>
      <c r="AV66">
        <v>0</v>
      </c>
      <c r="AW66">
        <v>2</v>
      </c>
      <c r="AX66">
        <v>42186897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Y66*Source!I129</f>
        <v>47.401113600000002</v>
      </c>
      <c r="CY66">
        <f t="shared" si="12"/>
        <v>1009.4</v>
      </c>
      <c r="CZ66">
        <f t="shared" si="13"/>
        <v>1009.4</v>
      </c>
      <c r="DA66">
        <f t="shared" si="14"/>
        <v>1</v>
      </c>
      <c r="DB66">
        <f>ROUND((ROUND(AT66*CZ66,2)*51),6)</f>
        <v>514.59</v>
      </c>
      <c r="DC66">
        <f>ROUND((ROUND(AT66*AG66,2)*51),6)</f>
        <v>161.66999999999999</v>
      </c>
    </row>
    <row r="67" spans="1:107" x14ac:dyDescent="0.2">
      <c r="A67">
        <f>ROW(Source!A129)</f>
        <v>129</v>
      </c>
      <c r="B67">
        <v>42184655</v>
      </c>
      <c r="C67">
        <v>42186886</v>
      </c>
      <c r="D67">
        <v>40680075</v>
      </c>
      <c r="E67">
        <v>1</v>
      </c>
      <c r="F67">
        <v>1</v>
      </c>
      <c r="G67">
        <v>27</v>
      </c>
      <c r="H67">
        <v>2</v>
      </c>
      <c r="I67" t="s">
        <v>282</v>
      </c>
      <c r="J67" t="s">
        <v>283</v>
      </c>
      <c r="K67" t="s">
        <v>284</v>
      </c>
      <c r="L67">
        <v>1368</v>
      </c>
      <c r="N67">
        <v>1011</v>
      </c>
      <c r="O67" t="s">
        <v>278</v>
      </c>
      <c r="P67" t="s">
        <v>278</v>
      </c>
      <c r="Q67">
        <v>1</v>
      </c>
      <c r="W67">
        <v>0</v>
      </c>
      <c r="X67">
        <v>-1786200580</v>
      </c>
      <c r="Y67">
        <v>0.40800000000000003</v>
      </c>
      <c r="AA67">
        <v>0</v>
      </c>
      <c r="AB67">
        <v>1014.12</v>
      </c>
      <c r="AC67">
        <v>317.13</v>
      </c>
      <c r="AD67">
        <v>0</v>
      </c>
      <c r="AE67">
        <v>0</v>
      </c>
      <c r="AF67">
        <v>1014.12</v>
      </c>
      <c r="AG67">
        <v>317.13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8.0000000000000002E-3</v>
      </c>
      <c r="AU67" t="s">
        <v>165</v>
      </c>
      <c r="AV67">
        <v>0</v>
      </c>
      <c r="AW67">
        <v>2</v>
      </c>
      <c r="AX67">
        <v>42186898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Y67*Source!I129</f>
        <v>37.920890880000002</v>
      </c>
      <c r="CY67">
        <f t="shared" si="12"/>
        <v>1014.12</v>
      </c>
      <c r="CZ67">
        <f t="shared" si="13"/>
        <v>1014.12</v>
      </c>
      <c r="DA67">
        <f t="shared" si="14"/>
        <v>1</v>
      </c>
      <c r="DB67">
        <f>ROUND((ROUND(AT67*CZ67,2)*51),6)</f>
        <v>413.61</v>
      </c>
      <c r="DC67">
        <f>ROUND((ROUND(AT67*AG67,2)*51),6)</f>
        <v>129.54</v>
      </c>
    </row>
    <row r="68" spans="1:107" x14ac:dyDescent="0.2">
      <c r="A68">
        <f>ROW(Source!A131)</f>
        <v>131</v>
      </c>
      <c r="B68">
        <v>42184655</v>
      </c>
      <c r="C68">
        <v>42319721</v>
      </c>
      <c r="D68">
        <v>40662784</v>
      </c>
      <c r="E68">
        <v>27</v>
      </c>
      <c r="F68">
        <v>1</v>
      </c>
      <c r="G68">
        <v>27</v>
      </c>
      <c r="H68">
        <v>1</v>
      </c>
      <c r="I68" t="s">
        <v>272</v>
      </c>
      <c r="J68" t="s">
        <v>3</v>
      </c>
      <c r="K68" t="s">
        <v>273</v>
      </c>
      <c r="L68">
        <v>1191</v>
      </c>
      <c r="N68">
        <v>1013</v>
      </c>
      <c r="O68" t="s">
        <v>274</v>
      </c>
      <c r="P68" t="s">
        <v>274</v>
      </c>
      <c r="Q68">
        <v>1</v>
      </c>
      <c r="W68">
        <v>0</v>
      </c>
      <c r="X68">
        <v>476480486</v>
      </c>
      <c r="Y68">
        <v>16.559999999999999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16.559999999999999</v>
      </c>
      <c r="AU68" t="s">
        <v>3</v>
      </c>
      <c r="AV68">
        <v>1</v>
      </c>
      <c r="AW68">
        <v>2</v>
      </c>
      <c r="AX68">
        <v>42319730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Y68*Source!I131</f>
        <v>1.06812</v>
      </c>
      <c r="CY68">
        <f>AD68</f>
        <v>0</v>
      </c>
      <c r="CZ68">
        <f>AH68</f>
        <v>0</v>
      </c>
      <c r="DA68">
        <f>AL68</f>
        <v>1</v>
      </c>
      <c r="DB68">
        <f t="shared" ref="DB68:DB88" si="15">ROUND(ROUND(AT68*CZ68,2),6)</f>
        <v>0</v>
      </c>
      <c r="DC68">
        <f t="shared" ref="DC68:DC88" si="16">ROUND(ROUND(AT68*AG68,2),6)</f>
        <v>0</v>
      </c>
    </row>
    <row r="69" spans="1:107" x14ac:dyDescent="0.2">
      <c r="A69">
        <f>ROW(Source!A131)</f>
        <v>131</v>
      </c>
      <c r="B69">
        <v>42184655</v>
      </c>
      <c r="C69">
        <v>42319721</v>
      </c>
      <c r="D69">
        <v>40679320</v>
      </c>
      <c r="E69">
        <v>1</v>
      </c>
      <c r="F69">
        <v>1</v>
      </c>
      <c r="G69">
        <v>27</v>
      </c>
      <c r="H69">
        <v>2</v>
      </c>
      <c r="I69" t="s">
        <v>285</v>
      </c>
      <c r="J69" t="s">
        <v>286</v>
      </c>
      <c r="K69" t="s">
        <v>287</v>
      </c>
      <c r="L69">
        <v>1368</v>
      </c>
      <c r="N69">
        <v>1011</v>
      </c>
      <c r="O69" t="s">
        <v>278</v>
      </c>
      <c r="P69" t="s">
        <v>278</v>
      </c>
      <c r="Q69">
        <v>1</v>
      </c>
      <c r="W69">
        <v>0</v>
      </c>
      <c r="X69">
        <v>-714750861</v>
      </c>
      <c r="Y69">
        <v>2.08</v>
      </c>
      <c r="AA69">
        <v>0</v>
      </c>
      <c r="AB69">
        <v>740.94</v>
      </c>
      <c r="AC69">
        <v>413.22</v>
      </c>
      <c r="AD69">
        <v>0</v>
      </c>
      <c r="AE69">
        <v>0</v>
      </c>
      <c r="AF69">
        <v>740.94</v>
      </c>
      <c r="AG69">
        <v>413.22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2.08</v>
      </c>
      <c r="AU69" t="s">
        <v>3</v>
      </c>
      <c r="AV69">
        <v>0</v>
      </c>
      <c r="AW69">
        <v>2</v>
      </c>
      <c r="AX69">
        <v>42319731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Y69*Source!I131</f>
        <v>0.13416</v>
      </c>
      <c r="CY69">
        <f>AB69</f>
        <v>740.94</v>
      </c>
      <c r="CZ69">
        <f>AF69</f>
        <v>740.94</v>
      </c>
      <c r="DA69">
        <f>AJ69</f>
        <v>1</v>
      </c>
      <c r="DB69">
        <f t="shared" si="15"/>
        <v>1541.16</v>
      </c>
      <c r="DC69">
        <f t="shared" si="16"/>
        <v>859.5</v>
      </c>
    </row>
    <row r="70" spans="1:107" x14ac:dyDescent="0.2">
      <c r="A70">
        <f>ROW(Source!A131)</f>
        <v>131</v>
      </c>
      <c r="B70">
        <v>42184655</v>
      </c>
      <c r="C70">
        <v>42319721</v>
      </c>
      <c r="D70">
        <v>40679475</v>
      </c>
      <c r="E70">
        <v>1</v>
      </c>
      <c r="F70">
        <v>1</v>
      </c>
      <c r="G70">
        <v>27</v>
      </c>
      <c r="H70">
        <v>2</v>
      </c>
      <c r="I70" t="s">
        <v>288</v>
      </c>
      <c r="J70" t="s">
        <v>289</v>
      </c>
      <c r="K70" t="s">
        <v>290</v>
      </c>
      <c r="L70">
        <v>1368</v>
      </c>
      <c r="N70">
        <v>1011</v>
      </c>
      <c r="O70" t="s">
        <v>278</v>
      </c>
      <c r="P70" t="s">
        <v>278</v>
      </c>
      <c r="Q70">
        <v>1</v>
      </c>
      <c r="W70">
        <v>0</v>
      </c>
      <c r="X70">
        <v>1985690002</v>
      </c>
      <c r="Y70">
        <v>2.08</v>
      </c>
      <c r="AA70">
        <v>0</v>
      </c>
      <c r="AB70">
        <v>430.32</v>
      </c>
      <c r="AC70">
        <v>215.31</v>
      </c>
      <c r="AD70">
        <v>0</v>
      </c>
      <c r="AE70">
        <v>0</v>
      </c>
      <c r="AF70">
        <v>430.32</v>
      </c>
      <c r="AG70">
        <v>215.31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2.08</v>
      </c>
      <c r="AU70" t="s">
        <v>3</v>
      </c>
      <c r="AV70">
        <v>0</v>
      </c>
      <c r="AW70">
        <v>2</v>
      </c>
      <c r="AX70">
        <v>42319732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Y70*Source!I131</f>
        <v>0.13416</v>
      </c>
      <c r="CY70">
        <f>AB70</f>
        <v>430.32</v>
      </c>
      <c r="CZ70">
        <f>AF70</f>
        <v>430.32</v>
      </c>
      <c r="DA70">
        <f>AJ70</f>
        <v>1</v>
      </c>
      <c r="DB70">
        <f t="shared" si="15"/>
        <v>895.07</v>
      </c>
      <c r="DC70">
        <f t="shared" si="16"/>
        <v>447.84</v>
      </c>
    </row>
    <row r="71" spans="1:107" x14ac:dyDescent="0.2">
      <c r="A71">
        <f>ROW(Source!A131)</f>
        <v>131</v>
      </c>
      <c r="B71">
        <v>42184655</v>
      </c>
      <c r="C71">
        <v>42319721</v>
      </c>
      <c r="D71">
        <v>40679478</v>
      </c>
      <c r="E71">
        <v>1</v>
      </c>
      <c r="F71">
        <v>1</v>
      </c>
      <c r="G71">
        <v>27</v>
      </c>
      <c r="H71">
        <v>2</v>
      </c>
      <c r="I71" t="s">
        <v>291</v>
      </c>
      <c r="J71" t="s">
        <v>292</v>
      </c>
      <c r="K71" t="s">
        <v>293</v>
      </c>
      <c r="L71">
        <v>1368</v>
      </c>
      <c r="N71">
        <v>1011</v>
      </c>
      <c r="O71" t="s">
        <v>278</v>
      </c>
      <c r="P71" t="s">
        <v>278</v>
      </c>
      <c r="Q71">
        <v>1</v>
      </c>
      <c r="W71">
        <v>0</v>
      </c>
      <c r="X71">
        <v>351519474</v>
      </c>
      <c r="Y71">
        <v>0.81</v>
      </c>
      <c r="AA71">
        <v>0</v>
      </c>
      <c r="AB71">
        <v>2020.59</v>
      </c>
      <c r="AC71">
        <v>458.56</v>
      </c>
      <c r="AD71">
        <v>0</v>
      </c>
      <c r="AE71">
        <v>0</v>
      </c>
      <c r="AF71">
        <v>2020.59</v>
      </c>
      <c r="AG71">
        <v>458.56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0.81</v>
      </c>
      <c r="AU71" t="s">
        <v>3</v>
      </c>
      <c r="AV71">
        <v>0</v>
      </c>
      <c r="AW71">
        <v>2</v>
      </c>
      <c r="AX71">
        <v>42319733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Y71*Source!I131</f>
        <v>5.2245000000000007E-2</v>
      </c>
      <c r="CY71">
        <f>AB71</f>
        <v>2020.59</v>
      </c>
      <c r="CZ71">
        <f>AF71</f>
        <v>2020.59</v>
      </c>
      <c r="DA71">
        <f>AJ71</f>
        <v>1</v>
      </c>
      <c r="DB71">
        <f t="shared" si="15"/>
        <v>1636.68</v>
      </c>
      <c r="DC71">
        <f t="shared" si="16"/>
        <v>371.43</v>
      </c>
    </row>
    <row r="72" spans="1:107" x14ac:dyDescent="0.2">
      <c r="A72">
        <f>ROW(Source!A131)</f>
        <v>131</v>
      </c>
      <c r="B72">
        <v>42184655</v>
      </c>
      <c r="C72">
        <v>42319721</v>
      </c>
      <c r="D72">
        <v>40679502</v>
      </c>
      <c r="E72">
        <v>1</v>
      </c>
      <c r="F72">
        <v>1</v>
      </c>
      <c r="G72">
        <v>27</v>
      </c>
      <c r="H72">
        <v>2</v>
      </c>
      <c r="I72" t="s">
        <v>294</v>
      </c>
      <c r="J72" t="s">
        <v>295</v>
      </c>
      <c r="K72" t="s">
        <v>296</v>
      </c>
      <c r="L72">
        <v>1368</v>
      </c>
      <c r="N72">
        <v>1011</v>
      </c>
      <c r="O72" t="s">
        <v>278</v>
      </c>
      <c r="P72" t="s">
        <v>278</v>
      </c>
      <c r="Q72">
        <v>1</v>
      </c>
      <c r="W72">
        <v>0</v>
      </c>
      <c r="X72">
        <v>41279402</v>
      </c>
      <c r="Y72">
        <v>1.94</v>
      </c>
      <c r="AA72">
        <v>0</v>
      </c>
      <c r="AB72">
        <v>1412.71</v>
      </c>
      <c r="AC72">
        <v>641.32000000000005</v>
      </c>
      <c r="AD72">
        <v>0</v>
      </c>
      <c r="AE72">
        <v>0</v>
      </c>
      <c r="AF72">
        <v>1412.71</v>
      </c>
      <c r="AG72">
        <v>641.32000000000005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1.94</v>
      </c>
      <c r="AU72" t="s">
        <v>3</v>
      </c>
      <c r="AV72">
        <v>0</v>
      </c>
      <c r="AW72">
        <v>2</v>
      </c>
      <c r="AX72">
        <v>42319734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Y72*Source!I131</f>
        <v>0.12512999999999999</v>
      </c>
      <c r="CY72">
        <f>AB72</f>
        <v>1412.71</v>
      </c>
      <c r="CZ72">
        <f>AF72</f>
        <v>1412.71</v>
      </c>
      <c r="DA72">
        <f>AJ72</f>
        <v>1</v>
      </c>
      <c r="DB72">
        <f t="shared" si="15"/>
        <v>2740.66</v>
      </c>
      <c r="DC72">
        <f t="shared" si="16"/>
        <v>1244.1600000000001</v>
      </c>
    </row>
    <row r="73" spans="1:107" x14ac:dyDescent="0.2">
      <c r="A73">
        <f>ROW(Source!A131)</f>
        <v>131</v>
      </c>
      <c r="B73">
        <v>42184655</v>
      </c>
      <c r="C73">
        <v>42319721</v>
      </c>
      <c r="D73">
        <v>40679468</v>
      </c>
      <c r="E73">
        <v>1</v>
      </c>
      <c r="F73">
        <v>1</v>
      </c>
      <c r="G73">
        <v>27</v>
      </c>
      <c r="H73">
        <v>2</v>
      </c>
      <c r="I73" t="s">
        <v>297</v>
      </c>
      <c r="J73" t="s">
        <v>298</v>
      </c>
      <c r="K73" t="s">
        <v>299</v>
      </c>
      <c r="L73">
        <v>1368</v>
      </c>
      <c r="N73">
        <v>1011</v>
      </c>
      <c r="O73" t="s">
        <v>278</v>
      </c>
      <c r="P73" t="s">
        <v>278</v>
      </c>
      <c r="Q73">
        <v>1</v>
      </c>
      <c r="W73">
        <v>0</v>
      </c>
      <c r="X73">
        <v>-1991511797</v>
      </c>
      <c r="Y73">
        <v>0.65</v>
      </c>
      <c r="AA73">
        <v>0</v>
      </c>
      <c r="AB73">
        <v>1213.3399999999999</v>
      </c>
      <c r="AC73">
        <v>461.6</v>
      </c>
      <c r="AD73">
        <v>0</v>
      </c>
      <c r="AE73">
        <v>0</v>
      </c>
      <c r="AF73">
        <v>1213.3399999999999</v>
      </c>
      <c r="AG73">
        <v>461.6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0.65</v>
      </c>
      <c r="AU73" t="s">
        <v>3</v>
      </c>
      <c r="AV73">
        <v>0</v>
      </c>
      <c r="AW73">
        <v>2</v>
      </c>
      <c r="AX73">
        <v>42319735</v>
      </c>
      <c r="AY73">
        <v>1</v>
      </c>
      <c r="AZ73">
        <v>0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Y73*Source!I131</f>
        <v>4.1925000000000004E-2</v>
      </c>
      <c r="CY73">
        <f>AB73</f>
        <v>1213.3399999999999</v>
      </c>
      <c r="CZ73">
        <f>AF73</f>
        <v>1213.3399999999999</v>
      </c>
      <c r="DA73">
        <f>AJ73</f>
        <v>1</v>
      </c>
      <c r="DB73">
        <f t="shared" si="15"/>
        <v>788.67</v>
      </c>
      <c r="DC73">
        <f t="shared" si="16"/>
        <v>300.04000000000002</v>
      </c>
    </row>
    <row r="74" spans="1:107" x14ac:dyDescent="0.2">
      <c r="A74">
        <f>ROW(Source!A131)</f>
        <v>131</v>
      </c>
      <c r="B74">
        <v>42184655</v>
      </c>
      <c r="C74">
        <v>42319721</v>
      </c>
      <c r="D74">
        <v>40681431</v>
      </c>
      <c r="E74">
        <v>1</v>
      </c>
      <c r="F74">
        <v>1</v>
      </c>
      <c r="G74">
        <v>27</v>
      </c>
      <c r="H74">
        <v>3</v>
      </c>
      <c r="I74" t="s">
        <v>300</v>
      </c>
      <c r="J74" t="s">
        <v>301</v>
      </c>
      <c r="K74" t="s">
        <v>302</v>
      </c>
      <c r="L74">
        <v>1339</v>
      </c>
      <c r="N74">
        <v>1007</v>
      </c>
      <c r="O74" t="s">
        <v>38</v>
      </c>
      <c r="P74" t="s">
        <v>38</v>
      </c>
      <c r="Q74">
        <v>1</v>
      </c>
      <c r="W74">
        <v>0</v>
      </c>
      <c r="X74">
        <v>-840107338</v>
      </c>
      <c r="Y74">
        <v>110</v>
      </c>
      <c r="AA74">
        <v>590.78</v>
      </c>
      <c r="AB74">
        <v>0</v>
      </c>
      <c r="AC74">
        <v>0</v>
      </c>
      <c r="AD74">
        <v>0</v>
      </c>
      <c r="AE74">
        <v>590.78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110</v>
      </c>
      <c r="AU74" t="s">
        <v>3</v>
      </c>
      <c r="AV74">
        <v>0</v>
      </c>
      <c r="AW74">
        <v>2</v>
      </c>
      <c r="AX74">
        <v>42319736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Y74*Source!I131</f>
        <v>7.0950000000000006</v>
      </c>
      <c r="CY74">
        <f>AA74</f>
        <v>590.78</v>
      </c>
      <c r="CZ74">
        <f>AE74</f>
        <v>590.78</v>
      </c>
      <c r="DA74">
        <f>AI74</f>
        <v>1</v>
      </c>
      <c r="DB74">
        <f t="shared" si="15"/>
        <v>64985.8</v>
      </c>
      <c r="DC74">
        <f t="shared" si="16"/>
        <v>0</v>
      </c>
    </row>
    <row r="75" spans="1:107" x14ac:dyDescent="0.2">
      <c r="A75">
        <f>ROW(Source!A131)</f>
        <v>131</v>
      </c>
      <c r="B75">
        <v>42184655</v>
      </c>
      <c r="C75">
        <v>42319721</v>
      </c>
      <c r="D75">
        <v>40682177</v>
      </c>
      <c r="E75">
        <v>1</v>
      </c>
      <c r="F75">
        <v>1</v>
      </c>
      <c r="G75">
        <v>27</v>
      </c>
      <c r="H75">
        <v>3</v>
      </c>
      <c r="I75" t="s">
        <v>303</v>
      </c>
      <c r="J75" t="s">
        <v>304</v>
      </c>
      <c r="K75" t="s">
        <v>305</v>
      </c>
      <c r="L75">
        <v>1339</v>
      </c>
      <c r="N75">
        <v>1007</v>
      </c>
      <c r="O75" t="s">
        <v>38</v>
      </c>
      <c r="P75" t="s">
        <v>38</v>
      </c>
      <c r="Q75">
        <v>1</v>
      </c>
      <c r="W75">
        <v>0</v>
      </c>
      <c r="X75">
        <v>2028445372</v>
      </c>
      <c r="Y75">
        <v>5</v>
      </c>
      <c r="AA75">
        <v>35.25</v>
      </c>
      <c r="AB75">
        <v>0</v>
      </c>
      <c r="AC75">
        <v>0</v>
      </c>
      <c r="AD75">
        <v>0</v>
      </c>
      <c r="AE75">
        <v>35.25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5</v>
      </c>
      <c r="AU75" t="s">
        <v>3</v>
      </c>
      <c r="AV75">
        <v>0</v>
      </c>
      <c r="AW75">
        <v>2</v>
      </c>
      <c r="AX75">
        <v>42319737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Y75*Source!I131</f>
        <v>0.32250000000000001</v>
      </c>
      <c r="CY75">
        <f>AA75</f>
        <v>35.25</v>
      </c>
      <c r="CZ75">
        <f>AE75</f>
        <v>35.25</v>
      </c>
      <c r="DA75">
        <f>AI75</f>
        <v>1</v>
      </c>
      <c r="DB75">
        <f t="shared" si="15"/>
        <v>176.25</v>
      </c>
      <c r="DC75">
        <f t="shared" si="16"/>
        <v>0</v>
      </c>
    </row>
    <row r="76" spans="1:107" x14ac:dyDescent="0.2">
      <c r="A76">
        <f>ROW(Source!A132)</f>
        <v>132</v>
      </c>
      <c r="B76">
        <v>42184655</v>
      </c>
      <c r="C76">
        <v>42186899</v>
      </c>
      <c r="D76">
        <v>40662784</v>
      </c>
      <c r="E76">
        <v>27</v>
      </c>
      <c r="F76">
        <v>1</v>
      </c>
      <c r="G76">
        <v>27</v>
      </c>
      <c r="H76">
        <v>1</v>
      </c>
      <c r="I76" t="s">
        <v>272</v>
      </c>
      <c r="J76" t="s">
        <v>3</v>
      </c>
      <c r="K76" t="s">
        <v>273</v>
      </c>
      <c r="L76">
        <v>1191</v>
      </c>
      <c r="N76">
        <v>1013</v>
      </c>
      <c r="O76" t="s">
        <v>274</v>
      </c>
      <c r="P76" t="s">
        <v>274</v>
      </c>
      <c r="Q76">
        <v>1</v>
      </c>
      <c r="W76">
        <v>0</v>
      </c>
      <c r="X76">
        <v>476480486</v>
      </c>
      <c r="Y76">
        <v>72.959999999999994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72.959999999999994</v>
      </c>
      <c r="AU76" t="s">
        <v>3</v>
      </c>
      <c r="AV76">
        <v>1</v>
      </c>
      <c r="AW76">
        <v>2</v>
      </c>
      <c r="AX76">
        <v>42186925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Y76*Source!I132</f>
        <v>376.47359999999998</v>
      </c>
      <c r="CY76">
        <f>AD76</f>
        <v>0</v>
      </c>
      <c r="CZ76">
        <f>AH76</f>
        <v>0</v>
      </c>
      <c r="DA76">
        <f>AL76</f>
        <v>1</v>
      </c>
      <c r="DB76">
        <f t="shared" si="15"/>
        <v>0</v>
      </c>
      <c r="DC76">
        <f t="shared" si="16"/>
        <v>0</v>
      </c>
    </row>
    <row r="77" spans="1:107" x14ac:dyDescent="0.2">
      <c r="A77">
        <f>ROW(Source!A132)</f>
        <v>132</v>
      </c>
      <c r="B77">
        <v>42184655</v>
      </c>
      <c r="C77">
        <v>42186899</v>
      </c>
      <c r="D77">
        <v>40679392</v>
      </c>
      <c r="E77">
        <v>1</v>
      </c>
      <c r="F77">
        <v>1</v>
      </c>
      <c r="G77">
        <v>27</v>
      </c>
      <c r="H77">
        <v>2</v>
      </c>
      <c r="I77" t="s">
        <v>327</v>
      </c>
      <c r="J77" t="s">
        <v>328</v>
      </c>
      <c r="K77" t="s">
        <v>329</v>
      </c>
      <c r="L77">
        <v>1368</v>
      </c>
      <c r="N77">
        <v>1011</v>
      </c>
      <c r="O77" t="s">
        <v>278</v>
      </c>
      <c r="P77" t="s">
        <v>278</v>
      </c>
      <c r="Q77">
        <v>1</v>
      </c>
      <c r="W77">
        <v>0</v>
      </c>
      <c r="X77">
        <v>-1309569954</v>
      </c>
      <c r="Y77">
        <v>0.28000000000000003</v>
      </c>
      <c r="AA77">
        <v>0</v>
      </c>
      <c r="AB77">
        <v>683.9</v>
      </c>
      <c r="AC77">
        <v>371.27</v>
      </c>
      <c r="AD77">
        <v>0</v>
      </c>
      <c r="AE77">
        <v>0</v>
      </c>
      <c r="AF77">
        <v>683.9</v>
      </c>
      <c r="AG77">
        <v>371.27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0.28000000000000003</v>
      </c>
      <c r="AU77" t="s">
        <v>3</v>
      </c>
      <c r="AV77">
        <v>0</v>
      </c>
      <c r="AW77">
        <v>2</v>
      </c>
      <c r="AX77">
        <v>42186926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Y77*Source!I132</f>
        <v>1.4448000000000001</v>
      </c>
      <c r="CY77">
        <f>AB77</f>
        <v>683.9</v>
      </c>
      <c r="CZ77">
        <f>AF77</f>
        <v>683.9</v>
      </c>
      <c r="DA77">
        <f>AJ77</f>
        <v>1</v>
      </c>
      <c r="DB77">
        <f t="shared" si="15"/>
        <v>191.49</v>
      </c>
      <c r="DC77">
        <f t="shared" si="16"/>
        <v>103.96</v>
      </c>
    </row>
    <row r="78" spans="1:107" x14ac:dyDescent="0.2">
      <c r="A78">
        <f>ROW(Source!A132)</f>
        <v>132</v>
      </c>
      <c r="B78">
        <v>42184655</v>
      </c>
      <c r="C78">
        <v>42186899</v>
      </c>
      <c r="D78">
        <v>40683148</v>
      </c>
      <c r="E78">
        <v>1</v>
      </c>
      <c r="F78">
        <v>1</v>
      </c>
      <c r="G78">
        <v>27</v>
      </c>
      <c r="H78">
        <v>3</v>
      </c>
      <c r="I78" t="s">
        <v>330</v>
      </c>
      <c r="J78" t="s">
        <v>331</v>
      </c>
      <c r="K78" t="s">
        <v>332</v>
      </c>
      <c r="L78">
        <v>1339</v>
      </c>
      <c r="N78">
        <v>1007</v>
      </c>
      <c r="O78" t="s">
        <v>38</v>
      </c>
      <c r="P78" t="s">
        <v>38</v>
      </c>
      <c r="Q78">
        <v>1</v>
      </c>
      <c r="W78">
        <v>0</v>
      </c>
      <c r="X78">
        <v>-697630842</v>
      </c>
      <c r="Y78">
        <v>4.8</v>
      </c>
      <c r="AA78">
        <v>3714.73</v>
      </c>
      <c r="AB78">
        <v>0</v>
      </c>
      <c r="AC78">
        <v>0</v>
      </c>
      <c r="AD78">
        <v>0</v>
      </c>
      <c r="AE78">
        <v>3714.73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4.8</v>
      </c>
      <c r="AU78" t="s">
        <v>3</v>
      </c>
      <c r="AV78">
        <v>0</v>
      </c>
      <c r="AW78">
        <v>2</v>
      </c>
      <c r="AX78">
        <v>42186927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Y78*Source!I132</f>
        <v>24.768000000000001</v>
      </c>
      <c r="CY78">
        <f>AA78</f>
        <v>3714.73</v>
      </c>
      <c r="CZ78">
        <f>AE78</f>
        <v>3714.73</v>
      </c>
      <c r="DA78">
        <f>AI78</f>
        <v>1</v>
      </c>
      <c r="DB78">
        <f t="shared" si="15"/>
        <v>17830.7</v>
      </c>
      <c r="DC78">
        <f t="shared" si="16"/>
        <v>0</v>
      </c>
    </row>
    <row r="79" spans="1:107" x14ac:dyDescent="0.2">
      <c r="A79">
        <f>ROW(Source!A132)</f>
        <v>132</v>
      </c>
      <c r="B79">
        <v>42184655</v>
      </c>
      <c r="C79">
        <v>42186899</v>
      </c>
      <c r="D79">
        <v>40683224</v>
      </c>
      <c r="E79">
        <v>1</v>
      </c>
      <c r="F79">
        <v>1</v>
      </c>
      <c r="G79">
        <v>27</v>
      </c>
      <c r="H79">
        <v>3</v>
      </c>
      <c r="I79" t="s">
        <v>333</v>
      </c>
      <c r="J79" t="s">
        <v>334</v>
      </c>
      <c r="K79" t="s">
        <v>335</v>
      </c>
      <c r="L79">
        <v>1339</v>
      </c>
      <c r="N79">
        <v>1007</v>
      </c>
      <c r="O79" t="s">
        <v>38</v>
      </c>
      <c r="P79" t="s">
        <v>38</v>
      </c>
      <c r="Q79">
        <v>1</v>
      </c>
      <c r="W79">
        <v>0</v>
      </c>
      <c r="X79">
        <v>253260963</v>
      </c>
      <c r="Y79">
        <v>0.02</v>
      </c>
      <c r="AA79">
        <v>3392.59</v>
      </c>
      <c r="AB79">
        <v>0</v>
      </c>
      <c r="AC79">
        <v>0</v>
      </c>
      <c r="AD79">
        <v>0</v>
      </c>
      <c r="AE79">
        <v>3392.59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0.02</v>
      </c>
      <c r="AU79" t="s">
        <v>3</v>
      </c>
      <c r="AV79">
        <v>0</v>
      </c>
      <c r="AW79">
        <v>2</v>
      </c>
      <c r="AX79">
        <v>42186928</v>
      </c>
      <c r="AY79">
        <v>1</v>
      </c>
      <c r="AZ79">
        <v>0</v>
      </c>
      <c r="BA79">
        <v>77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Y79*Source!I132</f>
        <v>0.1032</v>
      </c>
      <c r="CY79">
        <f>AA79</f>
        <v>3392.59</v>
      </c>
      <c r="CZ79">
        <f>AE79</f>
        <v>3392.59</v>
      </c>
      <c r="DA79">
        <f>AI79</f>
        <v>1</v>
      </c>
      <c r="DB79">
        <f t="shared" si="15"/>
        <v>67.849999999999994</v>
      </c>
      <c r="DC79">
        <f t="shared" si="16"/>
        <v>0</v>
      </c>
    </row>
    <row r="80" spans="1:107" x14ac:dyDescent="0.2">
      <c r="A80">
        <f>ROW(Source!A132)</f>
        <v>132</v>
      </c>
      <c r="B80">
        <v>42184655</v>
      </c>
      <c r="C80">
        <v>42186899</v>
      </c>
      <c r="D80">
        <v>40683963</v>
      </c>
      <c r="E80">
        <v>1</v>
      </c>
      <c r="F80">
        <v>1</v>
      </c>
      <c r="G80">
        <v>27</v>
      </c>
      <c r="H80">
        <v>3</v>
      </c>
      <c r="I80" t="s">
        <v>336</v>
      </c>
      <c r="J80" t="s">
        <v>337</v>
      </c>
      <c r="K80" t="s">
        <v>338</v>
      </c>
      <c r="L80">
        <v>1339</v>
      </c>
      <c r="N80">
        <v>1007</v>
      </c>
      <c r="O80" t="s">
        <v>38</v>
      </c>
      <c r="P80" t="s">
        <v>38</v>
      </c>
      <c r="Q80">
        <v>1</v>
      </c>
      <c r="W80">
        <v>0</v>
      </c>
      <c r="X80">
        <v>858864401</v>
      </c>
      <c r="Y80">
        <v>1.6</v>
      </c>
      <c r="AA80">
        <v>9014.9</v>
      </c>
      <c r="AB80">
        <v>0</v>
      </c>
      <c r="AC80">
        <v>0</v>
      </c>
      <c r="AD80">
        <v>0</v>
      </c>
      <c r="AE80">
        <v>9014.9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1.6</v>
      </c>
      <c r="AU80" t="s">
        <v>3</v>
      </c>
      <c r="AV80">
        <v>0</v>
      </c>
      <c r="AW80">
        <v>2</v>
      </c>
      <c r="AX80">
        <v>42186929</v>
      </c>
      <c r="AY80">
        <v>1</v>
      </c>
      <c r="AZ80">
        <v>0</v>
      </c>
      <c r="BA80">
        <v>78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Y80*Source!I132</f>
        <v>8.2560000000000002</v>
      </c>
      <c r="CY80">
        <f>AA80</f>
        <v>9014.9</v>
      </c>
      <c r="CZ80">
        <f>AE80</f>
        <v>9014.9</v>
      </c>
      <c r="DA80">
        <f>AI80</f>
        <v>1</v>
      </c>
      <c r="DB80">
        <f t="shared" si="15"/>
        <v>14423.84</v>
      </c>
      <c r="DC80">
        <f t="shared" si="16"/>
        <v>0</v>
      </c>
    </row>
    <row r="81" spans="1:107" x14ac:dyDescent="0.2">
      <c r="A81">
        <f>ROW(Source!A170)</f>
        <v>170</v>
      </c>
      <c r="B81">
        <v>42184655</v>
      </c>
      <c r="C81">
        <v>42186930</v>
      </c>
      <c r="D81">
        <v>40662784</v>
      </c>
      <c r="E81">
        <v>27</v>
      </c>
      <c r="F81">
        <v>1</v>
      </c>
      <c r="G81">
        <v>27</v>
      </c>
      <c r="H81">
        <v>1</v>
      </c>
      <c r="I81" t="s">
        <v>272</v>
      </c>
      <c r="J81" t="s">
        <v>3</v>
      </c>
      <c r="K81" t="s">
        <v>273</v>
      </c>
      <c r="L81">
        <v>1191</v>
      </c>
      <c r="N81">
        <v>1013</v>
      </c>
      <c r="O81" t="s">
        <v>274</v>
      </c>
      <c r="P81" t="s">
        <v>274</v>
      </c>
      <c r="Q81">
        <v>1</v>
      </c>
      <c r="W81">
        <v>0</v>
      </c>
      <c r="X81">
        <v>476480486</v>
      </c>
      <c r="Y81">
        <v>1.59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1.59</v>
      </c>
      <c r="AU81" t="s">
        <v>3</v>
      </c>
      <c r="AV81">
        <v>1</v>
      </c>
      <c r="AW81">
        <v>2</v>
      </c>
      <c r="AX81">
        <v>42186934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Y81*Source!I170</f>
        <v>0.81567000000000001</v>
      </c>
      <c r="CY81">
        <f>AD81</f>
        <v>0</v>
      </c>
      <c r="CZ81">
        <f>AH81</f>
        <v>0</v>
      </c>
      <c r="DA81">
        <f>AL81</f>
        <v>1</v>
      </c>
      <c r="DB81">
        <f t="shared" si="15"/>
        <v>0</v>
      </c>
      <c r="DC81">
        <f t="shared" si="16"/>
        <v>0</v>
      </c>
    </row>
    <row r="82" spans="1:107" x14ac:dyDescent="0.2">
      <c r="A82">
        <f>ROW(Source!A170)</f>
        <v>170</v>
      </c>
      <c r="B82">
        <v>42184655</v>
      </c>
      <c r="C82">
        <v>42186930</v>
      </c>
      <c r="D82">
        <v>40679275</v>
      </c>
      <c r="E82">
        <v>1</v>
      </c>
      <c r="F82">
        <v>1</v>
      </c>
      <c r="G82">
        <v>27</v>
      </c>
      <c r="H82">
        <v>2</v>
      </c>
      <c r="I82" t="s">
        <v>275</v>
      </c>
      <c r="J82" t="s">
        <v>276</v>
      </c>
      <c r="K82" t="s">
        <v>277</v>
      </c>
      <c r="L82">
        <v>1368</v>
      </c>
      <c r="N82">
        <v>1011</v>
      </c>
      <c r="O82" t="s">
        <v>278</v>
      </c>
      <c r="P82" t="s">
        <v>278</v>
      </c>
      <c r="Q82">
        <v>1</v>
      </c>
      <c r="W82">
        <v>0</v>
      </c>
      <c r="X82">
        <v>-903558812</v>
      </c>
      <c r="Y82">
        <v>4.9800000000000004</v>
      </c>
      <c r="AA82">
        <v>0</v>
      </c>
      <c r="AB82">
        <v>1493.72</v>
      </c>
      <c r="AC82">
        <v>566.86</v>
      </c>
      <c r="AD82">
        <v>0</v>
      </c>
      <c r="AE82">
        <v>0</v>
      </c>
      <c r="AF82">
        <v>1493.72</v>
      </c>
      <c r="AG82">
        <v>566.86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4.9800000000000004</v>
      </c>
      <c r="AU82" t="s">
        <v>3</v>
      </c>
      <c r="AV82">
        <v>0</v>
      </c>
      <c r="AW82">
        <v>2</v>
      </c>
      <c r="AX82">
        <v>42186935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Y82*Source!I170</f>
        <v>2.5547400000000002</v>
      </c>
      <c r="CY82">
        <f>AB82</f>
        <v>1493.72</v>
      </c>
      <c r="CZ82">
        <f>AF82</f>
        <v>1493.72</v>
      </c>
      <c r="DA82">
        <f>AJ82</f>
        <v>1</v>
      </c>
      <c r="DB82">
        <f t="shared" si="15"/>
        <v>7438.73</v>
      </c>
      <c r="DC82">
        <f t="shared" si="16"/>
        <v>2822.96</v>
      </c>
    </row>
    <row r="83" spans="1:107" x14ac:dyDescent="0.2">
      <c r="A83">
        <f>ROW(Source!A170)</f>
        <v>170</v>
      </c>
      <c r="B83">
        <v>42184655</v>
      </c>
      <c r="C83">
        <v>42186930</v>
      </c>
      <c r="D83">
        <v>40679298</v>
      </c>
      <c r="E83">
        <v>1</v>
      </c>
      <c r="F83">
        <v>1</v>
      </c>
      <c r="G83">
        <v>27</v>
      </c>
      <c r="H83">
        <v>2</v>
      </c>
      <c r="I83" t="s">
        <v>279</v>
      </c>
      <c r="J83" t="s">
        <v>280</v>
      </c>
      <c r="K83" t="s">
        <v>281</v>
      </c>
      <c r="L83">
        <v>1368</v>
      </c>
      <c r="N83">
        <v>1011</v>
      </c>
      <c r="O83" t="s">
        <v>278</v>
      </c>
      <c r="P83" t="s">
        <v>278</v>
      </c>
      <c r="Q83">
        <v>1</v>
      </c>
      <c r="W83">
        <v>0</v>
      </c>
      <c r="X83">
        <v>-888973741</v>
      </c>
      <c r="Y83">
        <v>1.25</v>
      </c>
      <c r="AA83">
        <v>0</v>
      </c>
      <c r="AB83">
        <v>1072.23</v>
      </c>
      <c r="AC83">
        <v>488.73</v>
      </c>
      <c r="AD83">
        <v>0</v>
      </c>
      <c r="AE83">
        <v>0</v>
      </c>
      <c r="AF83">
        <v>1072.23</v>
      </c>
      <c r="AG83">
        <v>488.73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1.25</v>
      </c>
      <c r="AU83" t="s">
        <v>3</v>
      </c>
      <c r="AV83">
        <v>0</v>
      </c>
      <c r="AW83">
        <v>2</v>
      </c>
      <c r="AX83">
        <v>42186936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Y83*Source!I170</f>
        <v>0.64124999999999999</v>
      </c>
      <c r="CY83">
        <f>AB83</f>
        <v>1072.23</v>
      </c>
      <c r="CZ83">
        <f>AF83</f>
        <v>1072.23</v>
      </c>
      <c r="DA83">
        <f>AJ83</f>
        <v>1</v>
      </c>
      <c r="DB83">
        <f t="shared" si="15"/>
        <v>1340.29</v>
      </c>
      <c r="DC83">
        <f t="shared" si="16"/>
        <v>610.91</v>
      </c>
    </row>
    <row r="84" spans="1:107" x14ac:dyDescent="0.2">
      <c r="A84">
        <f>ROW(Source!A171)</f>
        <v>171</v>
      </c>
      <c r="B84">
        <v>42184655</v>
      </c>
      <c r="C84">
        <v>42186937</v>
      </c>
      <c r="D84">
        <v>40662784</v>
      </c>
      <c r="E84">
        <v>27</v>
      </c>
      <c r="F84">
        <v>1</v>
      </c>
      <c r="G84">
        <v>27</v>
      </c>
      <c r="H84">
        <v>1</v>
      </c>
      <c r="I84" t="s">
        <v>272</v>
      </c>
      <c r="J84" t="s">
        <v>3</v>
      </c>
      <c r="K84" t="s">
        <v>273</v>
      </c>
      <c r="L84">
        <v>1191</v>
      </c>
      <c r="N84">
        <v>1013</v>
      </c>
      <c r="O84" t="s">
        <v>274</v>
      </c>
      <c r="P84" t="s">
        <v>274</v>
      </c>
      <c r="Q84">
        <v>1</v>
      </c>
      <c r="W84">
        <v>0</v>
      </c>
      <c r="X84">
        <v>476480486</v>
      </c>
      <c r="Y84">
        <v>1.59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1.59</v>
      </c>
      <c r="AU84" t="s">
        <v>3</v>
      </c>
      <c r="AV84">
        <v>1</v>
      </c>
      <c r="AW84">
        <v>2</v>
      </c>
      <c r="AX84">
        <v>42186941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Y84*Source!I171</f>
        <v>8.1567000000000001E-2</v>
      </c>
      <c r="CY84">
        <f>AD84</f>
        <v>0</v>
      </c>
      <c r="CZ84">
        <f>AH84</f>
        <v>0</v>
      </c>
      <c r="DA84">
        <f>AL84</f>
        <v>1</v>
      </c>
      <c r="DB84">
        <f t="shared" si="15"/>
        <v>0</v>
      </c>
      <c r="DC84">
        <f t="shared" si="16"/>
        <v>0</v>
      </c>
    </row>
    <row r="85" spans="1:107" x14ac:dyDescent="0.2">
      <c r="A85">
        <f>ROW(Source!A171)</f>
        <v>171</v>
      </c>
      <c r="B85">
        <v>42184655</v>
      </c>
      <c r="C85">
        <v>42186937</v>
      </c>
      <c r="D85">
        <v>40679275</v>
      </c>
      <c r="E85">
        <v>1</v>
      </c>
      <c r="F85">
        <v>1</v>
      </c>
      <c r="G85">
        <v>27</v>
      </c>
      <c r="H85">
        <v>2</v>
      </c>
      <c r="I85" t="s">
        <v>275</v>
      </c>
      <c r="J85" t="s">
        <v>276</v>
      </c>
      <c r="K85" t="s">
        <v>277</v>
      </c>
      <c r="L85">
        <v>1368</v>
      </c>
      <c r="N85">
        <v>1011</v>
      </c>
      <c r="O85" t="s">
        <v>278</v>
      </c>
      <c r="P85" t="s">
        <v>278</v>
      </c>
      <c r="Q85">
        <v>1</v>
      </c>
      <c r="W85">
        <v>0</v>
      </c>
      <c r="X85">
        <v>-903558812</v>
      </c>
      <c r="Y85">
        <v>4.9800000000000004</v>
      </c>
      <c r="AA85">
        <v>0</v>
      </c>
      <c r="AB85">
        <v>1493.72</v>
      </c>
      <c r="AC85">
        <v>566.86</v>
      </c>
      <c r="AD85">
        <v>0</v>
      </c>
      <c r="AE85">
        <v>0</v>
      </c>
      <c r="AF85">
        <v>1493.72</v>
      </c>
      <c r="AG85">
        <v>566.86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4.9800000000000004</v>
      </c>
      <c r="AU85" t="s">
        <v>3</v>
      </c>
      <c r="AV85">
        <v>0</v>
      </c>
      <c r="AW85">
        <v>2</v>
      </c>
      <c r="AX85">
        <v>42186942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Y85*Source!I171</f>
        <v>0.25547400000000003</v>
      </c>
      <c r="CY85">
        <f>AB85</f>
        <v>1493.72</v>
      </c>
      <c r="CZ85">
        <f>AF85</f>
        <v>1493.72</v>
      </c>
      <c r="DA85">
        <f>AJ85</f>
        <v>1</v>
      </c>
      <c r="DB85">
        <f t="shared" si="15"/>
        <v>7438.73</v>
      </c>
      <c r="DC85">
        <f t="shared" si="16"/>
        <v>2822.96</v>
      </c>
    </row>
    <row r="86" spans="1:107" x14ac:dyDescent="0.2">
      <c r="A86">
        <f>ROW(Source!A171)</f>
        <v>171</v>
      </c>
      <c r="B86">
        <v>42184655</v>
      </c>
      <c r="C86">
        <v>42186937</v>
      </c>
      <c r="D86">
        <v>40679298</v>
      </c>
      <c r="E86">
        <v>1</v>
      </c>
      <c r="F86">
        <v>1</v>
      </c>
      <c r="G86">
        <v>27</v>
      </c>
      <c r="H86">
        <v>2</v>
      </c>
      <c r="I86" t="s">
        <v>279</v>
      </c>
      <c r="J86" t="s">
        <v>280</v>
      </c>
      <c r="K86" t="s">
        <v>281</v>
      </c>
      <c r="L86">
        <v>1368</v>
      </c>
      <c r="N86">
        <v>1011</v>
      </c>
      <c r="O86" t="s">
        <v>278</v>
      </c>
      <c r="P86" t="s">
        <v>278</v>
      </c>
      <c r="Q86">
        <v>1</v>
      </c>
      <c r="W86">
        <v>0</v>
      </c>
      <c r="X86">
        <v>-888973741</v>
      </c>
      <c r="Y86">
        <v>1.25</v>
      </c>
      <c r="AA86">
        <v>0</v>
      </c>
      <c r="AB86">
        <v>1072.23</v>
      </c>
      <c r="AC86">
        <v>488.73</v>
      </c>
      <c r="AD86">
        <v>0</v>
      </c>
      <c r="AE86">
        <v>0</v>
      </c>
      <c r="AF86">
        <v>1072.23</v>
      </c>
      <c r="AG86">
        <v>488.73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1.25</v>
      </c>
      <c r="AU86" t="s">
        <v>3</v>
      </c>
      <c r="AV86">
        <v>0</v>
      </c>
      <c r="AW86">
        <v>2</v>
      </c>
      <c r="AX86">
        <v>42186943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Y86*Source!I171</f>
        <v>6.4125000000000001E-2</v>
      </c>
      <c r="CY86">
        <f>AB86</f>
        <v>1072.23</v>
      </c>
      <c r="CZ86">
        <f>AF86</f>
        <v>1072.23</v>
      </c>
      <c r="DA86">
        <f>AJ86</f>
        <v>1</v>
      </c>
      <c r="DB86">
        <f t="shared" si="15"/>
        <v>1340.29</v>
      </c>
      <c r="DC86">
        <f t="shared" si="16"/>
        <v>610.91</v>
      </c>
    </row>
    <row r="87" spans="1:107" x14ac:dyDescent="0.2">
      <c r="A87">
        <f>ROW(Source!A172)</f>
        <v>172</v>
      </c>
      <c r="B87">
        <v>42184655</v>
      </c>
      <c r="C87">
        <v>42186944</v>
      </c>
      <c r="D87">
        <v>40662784</v>
      </c>
      <c r="E87">
        <v>27</v>
      </c>
      <c r="F87">
        <v>1</v>
      </c>
      <c r="G87">
        <v>27</v>
      </c>
      <c r="H87">
        <v>1</v>
      </c>
      <c r="I87" t="s">
        <v>272</v>
      </c>
      <c r="J87" t="s">
        <v>3</v>
      </c>
      <c r="K87" t="s">
        <v>273</v>
      </c>
      <c r="L87">
        <v>1191</v>
      </c>
      <c r="N87">
        <v>1013</v>
      </c>
      <c r="O87" t="s">
        <v>274</v>
      </c>
      <c r="P87" t="s">
        <v>274</v>
      </c>
      <c r="Q87">
        <v>1</v>
      </c>
      <c r="W87">
        <v>0</v>
      </c>
      <c r="X87">
        <v>476480486</v>
      </c>
      <c r="Y87">
        <v>83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83</v>
      </c>
      <c r="AU87" t="s">
        <v>3</v>
      </c>
      <c r="AV87">
        <v>1</v>
      </c>
      <c r="AW87">
        <v>2</v>
      </c>
      <c r="AX87">
        <v>42186946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Y87*Source!I172</f>
        <v>0.47310000000000002</v>
      </c>
      <c r="CY87">
        <f>AD87</f>
        <v>0</v>
      </c>
      <c r="CZ87">
        <f>AH87</f>
        <v>0</v>
      </c>
      <c r="DA87">
        <f>AL87</f>
        <v>1</v>
      </c>
      <c r="DB87">
        <f t="shared" si="15"/>
        <v>0</v>
      </c>
      <c r="DC87">
        <f t="shared" si="16"/>
        <v>0</v>
      </c>
    </row>
    <row r="88" spans="1:107" x14ac:dyDescent="0.2">
      <c r="A88">
        <f>ROW(Source!A173)</f>
        <v>173</v>
      </c>
      <c r="B88">
        <v>42184655</v>
      </c>
      <c r="C88">
        <v>42186947</v>
      </c>
      <c r="D88">
        <v>40680075</v>
      </c>
      <c r="E88">
        <v>1</v>
      </c>
      <c r="F88">
        <v>1</v>
      </c>
      <c r="G88">
        <v>27</v>
      </c>
      <c r="H88">
        <v>2</v>
      </c>
      <c r="I88" t="s">
        <v>282</v>
      </c>
      <c r="J88" t="s">
        <v>283</v>
      </c>
      <c r="K88" t="s">
        <v>284</v>
      </c>
      <c r="L88">
        <v>1368</v>
      </c>
      <c r="N88">
        <v>1011</v>
      </c>
      <c r="O88" t="s">
        <v>278</v>
      </c>
      <c r="P88" t="s">
        <v>278</v>
      </c>
      <c r="Q88">
        <v>1</v>
      </c>
      <c r="W88">
        <v>0</v>
      </c>
      <c r="X88">
        <v>-1786200580</v>
      </c>
      <c r="Y88">
        <v>3.1E-2</v>
      </c>
      <c r="AA88">
        <v>0</v>
      </c>
      <c r="AB88">
        <v>1014.12</v>
      </c>
      <c r="AC88">
        <v>317.13</v>
      </c>
      <c r="AD88">
        <v>0</v>
      </c>
      <c r="AE88">
        <v>0</v>
      </c>
      <c r="AF88">
        <v>1014.12</v>
      </c>
      <c r="AG88">
        <v>317.13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3.1E-2</v>
      </c>
      <c r="AU88" t="s">
        <v>3</v>
      </c>
      <c r="AV88">
        <v>0</v>
      </c>
      <c r="AW88">
        <v>2</v>
      </c>
      <c r="AX88">
        <v>42186949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Y88*Source!I173</f>
        <v>1.7669999999999999</v>
      </c>
      <c r="CY88">
        <f>AB88</f>
        <v>1014.12</v>
      </c>
      <c r="CZ88">
        <f>AF88</f>
        <v>1014.12</v>
      </c>
      <c r="DA88">
        <f>AJ88</f>
        <v>1</v>
      </c>
      <c r="DB88">
        <f t="shared" si="15"/>
        <v>31.44</v>
      </c>
      <c r="DC88">
        <f t="shared" si="16"/>
        <v>9.83</v>
      </c>
    </row>
    <row r="89" spans="1:107" x14ac:dyDescent="0.2">
      <c r="A89">
        <f>ROW(Source!A174)</f>
        <v>174</v>
      </c>
      <c r="B89">
        <v>42184655</v>
      </c>
      <c r="C89">
        <v>42186950</v>
      </c>
      <c r="D89">
        <v>40680075</v>
      </c>
      <c r="E89">
        <v>1</v>
      </c>
      <c r="F89">
        <v>1</v>
      </c>
      <c r="G89">
        <v>27</v>
      </c>
      <c r="H89">
        <v>2</v>
      </c>
      <c r="I89" t="s">
        <v>282</v>
      </c>
      <c r="J89" t="s">
        <v>283</v>
      </c>
      <c r="K89" t="s">
        <v>284</v>
      </c>
      <c r="L89">
        <v>1368</v>
      </c>
      <c r="N89">
        <v>1011</v>
      </c>
      <c r="O89" t="s">
        <v>278</v>
      </c>
      <c r="P89" t="s">
        <v>278</v>
      </c>
      <c r="Q89">
        <v>1</v>
      </c>
      <c r="W89">
        <v>0</v>
      </c>
      <c r="X89">
        <v>-1786200580</v>
      </c>
      <c r="Y89">
        <v>0.54</v>
      </c>
      <c r="AA89">
        <v>0</v>
      </c>
      <c r="AB89">
        <v>1014.12</v>
      </c>
      <c r="AC89">
        <v>317.13</v>
      </c>
      <c r="AD89">
        <v>0</v>
      </c>
      <c r="AE89">
        <v>0</v>
      </c>
      <c r="AF89">
        <v>1014.12</v>
      </c>
      <c r="AG89">
        <v>317.13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S89" t="s">
        <v>3</v>
      </c>
      <c r="AT89">
        <v>0.01</v>
      </c>
      <c r="AU89" t="s">
        <v>45</v>
      </c>
      <c r="AV89">
        <v>0</v>
      </c>
      <c r="AW89">
        <v>2</v>
      </c>
      <c r="AX89">
        <v>42186952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Y89*Source!I174</f>
        <v>30.78</v>
      </c>
      <c r="CY89">
        <f>AB89</f>
        <v>1014.12</v>
      </c>
      <c r="CZ89">
        <f>AF89</f>
        <v>1014.12</v>
      </c>
      <c r="DA89">
        <f>AJ89</f>
        <v>1</v>
      </c>
      <c r="DB89">
        <f>ROUND((ROUND(AT89*CZ89,2)*54),6)</f>
        <v>547.55999999999995</v>
      </c>
      <c r="DC89">
        <f>ROUND((ROUND(AT89*AG89,2)*54),6)</f>
        <v>171.18</v>
      </c>
    </row>
    <row r="90" spans="1:107" x14ac:dyDescent="0.2">
      <c r="A90">
        <f>ROW(Source!A176)</f>
        <v>176</v>
      </c>
      <c r="B90">
        <v>42184655</v>
      </c>
      <c r="C90">
        <v>42186953</v>
      </c>
      <c r="D90">
        <v>40662784</v>
      </c>
      <c r="E90">
        <v>27</v>
      </c>
      <c r="F90">
        <v>1</v>
      </c>
      <c r="G90">
        <v>27</v>
      </c>
      <c r="H90">
        <v>1</v>
      </c>
      <c r="I90" t="s">
        <v>272</v>
      </c>
      <c r="J90" t="s">
        <v>3</v>
      </c>
      <c r="K90" t="s">
        <v>273</v>
      </c>
      <c r="L90">
        <v>1191</v>
      </c>
      <c r="N90">
        <v>1013</v>
      </c>
      <c r="O90" t="s">
        <v>274</v>
      </c>
      <c r="P90" t="s">
        <v>274</v>
      </c>
      <c r="Q90">
        <v>1</v>
      </c>
      <c r="W90">
        <v>0</v>
      </c>
      <c r="X90">
        <v>476480486</v>
      </c>
      <c r="Y90">
        <v>30.8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30.8</v>
      </c>
      <c r="AU90" t="s">
        <v>3</v>
      </c>
      <c r="AV90">
        <v>1</v>
      </c>
      <c r="AW90">
        <v>2</v>
      </c>
      <c r="AX90">
        <v>42186958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Y90*Source!I176</f>
        <v>131.67000000000002</v>
      </c>
      <c r="CY90">
        <f>AD90</f>
        <v>0</v>
      </c>
      <c r="CZ90">
        <f>AH90</f>
        <v>0</v>
      </c>
      <c r="DA90">
        <f>AL90</f>
        <v>1</v>
      </c>
      <c r="DB90">
        <f t="shared" ref="DB90:DB131" si="17">ROUND(ROUND(AT90*CZ90,2),6)</f>
        <v>0</v>
      </c>
      <c r="DC90">
        <f t="shared" ref="DC90:DC131" si="18">ROUND(ROUND(AT90*AG90,2),6)</f>
        <v>0</v>
      </c>
    </row>
    <row r="91" spans="1:107" x14ac:dyDescent="0.2">
      <c r="A91">
        <f>ROW(Source!A176)</f>
        <v>176</v>
      </c>
      <c r="B91">
        <v>42184655</v>
      </c>
      <c r="C91">
        <v>42186953</v>
      </c>
      <c r="D91">
        <v>40679876</v>
      </c>
      <c r="E91">
        <v>1</v>
      </c>
      <c r="F91">
        <v>1</v>
      </c>
      <c r="G91">
        <v>27</v>
      </c>
      <c r="H91">
        <v>2</v>
      </c>
      <c r="I91" t="s">
        <v>339</v>
      </c>
      <c r="J91" t="s">
        <v>340</v>
      </c>
      <c r="K91" t="s">
        <v>341</v>
      </c>
      <c r="L91">
        <v>1368</v>
      </c>
      <c r="N91">
        <v>1011</v>
      </c>
      <c r="O91" t="s">
        <v>278</v>
      </c>
      <c r="P91" t="s">
        <v>278</v>
      </c>
      <c r="Q91">
        <v>1</v>
      </c>
      <c r="W91">
        <v>0</v>
      </c>
      <c r="X91">
        <v>526885268</v>
      </c>
      <c r="Y91">
        <v>0.06</v>
      </c>
      <c r="AA91">
        <v>0</v>
      </c>
      <c r="AB91">
        <v>20.7</v>
      </c>
      <c r="AC91">
        <v>9.74</v>
      </c>
      <c r="AD91">
        <v>0</v>
      </c>
      <c r="AE91">
        <v>0</v>
      </c>
      <c r="AF91">
        <v>20.7</v>
      </c>
      <c r="AG91">
        <v>9.74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0.06</v>
      </c>
      <c r="AU91" t="s">
        <v>3</v>
      </c>
      <c r="AV91">
        <v>0</v>
      </c>
      <c r="AW91">
        <v>2</v>
      </c>
      <c r="AX91">
        <v>42186959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Y91*Source!I176</f>
        <v>0.25650000000000001</v>
      </c>
      <c r="CY91">
        <f>AB91</f>
        <v>20.7</v>
      </c>
      <c r="CZ91">
        <f>AF91</f>
        <v>20.7</v>
      </c>
      <c r="DA91">
        <f>AJ91</f>
        <v>1</v>
      </c>
      <c r="DB91">
        <f t="shared" si="17"/>
        <v>1.24</v>
      </c>
      <c r="DC91">
        <f t="shared" si="18"/>
        <v>0.57999999999999996</v>
      </c>
    </row>
    <row r="92" spans="1:107" x14ac:dyDescent="0.2">
      <c r="A92">
        <f>ROW(Source!A176)</f>
        <v>176</v>
      </c>
      <c r="B92">
        <v>42184655</v>
      </c>
      <c r="C92">
        <v>42186953</v>
      </c>
      <c r="D92">
        <v>40679326</v>
      </c>
      <c r="E92">
        <v>1</v>
      </c>
      <c r="F92">
        <v>1</v>
      </c>
      <c r="G92">
        <v>27</v>
      </c>
      <c r="H92">
        <v>2</v>
      </c>
      <c r="I92" t="s">
        <v>342</v>
      </c>
      <c r="J92" t="s">
        <v>343</v>
      </c>
      <c r="K92" t="s">
        <v>344</v>
      </c>
      <c r="L92">
        <v>1368</v>
      </c>
      <c r="N92">
        <v>1011</v>
      </c>
      <c r="O92" t="s">
        <v>278</v>
      </c>
      <c r="P92" t="s">
        <v>278</v>
      </c>
      <c r="Q92">
        <v>1</v>
      </c>
      <c r="W92">
        <v>0</v>
      </c>
      <c r="X92">
        <v>277467460</v>
      </c>
      <c r="Y92">
        <v>0.06</v>
      </c>
      <c r="AA92">
        <v>0</v>
      </c>
      <c r="AB92">
        <v>991.89</v>
      </c>
      <c r="AC92">
        <v>360.79</v>
      </c>
      <c r="AD92">
        <v>0</v>
      </c>
      <c r="AE92">
        <v>0</v>
      </c>
      <c r="AF92">
        <v>991.89</v>
      </c>
      <c r="AG92">
        <v>360.79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0.06</v>
      </c>
      <c r="AU92" t="s">
        <v>3</v>
      </c>
      <c r="AV92">
        <v>0</v>
      </c>
      <c r="AW92">
        <v>2</v>
      </c>
      <c r="AX92">
        <v>42186960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Y92*Source!I176</f>
        <v>0.25650000000000001</v>
      </c>
      <c r="CY92">
        <f>AB92</f>
        <v>991.89</v>
      </c>
      <c r="CZ92">
        <f>AF92</f>
        <v>991.89</v>
      </c>
      <c r="DA92">
        <f>AJ92</f>
        <v>1</v>
      </c>
      <c r="DB92">
        <f t="shared" si="17"/>
        <v>59.51</v>
      </c>
      <c r="DC92">
        <f t="shared" si="18"/>
        <v>21.65</v>
      </c>
    </row>
    <row r="93" spans="1:107" x14ac:dyDescent="0.2">
      <c r="A93">
        <f>ROW(Source!A176)</f>
        <v>176</v>
      </c>
      <c r="B93">
        <v>42184655</v>
      </c>
      <c r="C93">
        <v>42186953</v>
      </c>
      <c r="D93">
        <v>40683909</v>
      </c>
      <c r="E93">
        <v>1</v>
      </c>
      <c r="F93">
        <v>1</v>
      </c>
      <c r="G93">
        <v>27</v>
      </c>
      <c r="H93">
        <v>3</v>
      </c>
      <c r="I93" t="s">
        <v>345</v>
      </c>
      <c r="J93" t="s">
        <v>346</v>
      </c>
      <c r="K93" t="s">
        <v>347</v>
      </c>
      <c r="L93">
        <v>1339</v>
      </c>
      <c r="N93">
        <v>1007</v>
      </c>
      <c r="O93" t="s">
        <v>38</v>
      </c>
      <c r="P93" t="s">
        <v>38</v>
      </c>
      <c r="Q93">
        <v>1</v>
      </c>
      <c r="W93">
        <v>0</v>
      </c>
      <c r="X93">
        <v>-1277312656</v>
      </c>
      <c r="Y93">
        <v>15</v>
      </c>
      <c r="AA93">
        <v>753.67</v>
      </c>
      <c r="AB93">
        <v>0</v>
      </c>
      <c r="AC93">
        <v>0</v>
      </c>
      <c r="AD93">
        <v>0</v>
      </c>
      <c r="AE93">
        <v>753.67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15</v>
      </c>
      <c r="AU93" t="s">
        <v>3</v>
      </c>
      <c r="AV93">
        <v>0</v>
      </c>
      <c r="AW93">
        <v>2</v>
      </c>
      <c r="AX93">
        <v>42186961</v>
      </c>
      <c r="AY93">
        <v>1</v>
      </c>
      <c r="AZ93">
        <v>0</v>
      </c>
      <c r="BA93">
        <v>91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Y93*Source!I176</f>
        <v>64.125</v>
      </c>
      <c r="CY93">
        <f>AA93</f>
        <v>753.67</v>
      </c>
      <c r="CZ93">
        <f>AE93</f>
        <v>753.67</v>
      </c>
      <c r="DA93">
        <f>AI93</f>
        <v>1</v>
      </c>
      <c r="DB93">
        <f t="shared" si="17"/>
        <v>11305.05</v>
      </c>
      <c r="DC93">
        <f t="shared" si="18"/>
        <v>0</v>
      </c>
    </row>
    <row r="94" spans="1:107" x14ac:dyDescent="0.2">
      <c r="A94">
        <f>ROW(Source!A177)</f>
        <v>177</v>
      </c>
      <c r="B94">
        <v>42184655</v>
      </c>
      <c r="C94">
        <v>42186962</v>
      </c>
      <c r="D94">
        <v>40662784</v>
      </c>
      <c r="E94">
        <v>27</v>
      </c>
      <c r="F94">
        <v>1</v>
      </c>
      <c r="G94">
        <v>27</v>
      </c>
      <c r="H94">
        <v>1</v>
      </c>
      <c r="I94" t="s">
        <v>272</v>
      </c>
      <c r="J94" t="s">
        <v>3</v>
      </c>
      <c r="K94" t="s">
        <v>273</v>
      </c>
      <c r="L94">
        <v>1191</v>
      </c>
      <c r="N94">
        <v>1013</v>
      </c>
      <c r="O94" t="s">
        <v>274</v>
      </c>
      <c r="P94" t="s">
        <v>274</v>
      </c>
      <c r="Q94">
        <v>1</v>
      </c>
      <c r="W94">
        <v>0</v>
      </c>
      <c r="X94">
        <v>476480486</v>
      </c>
      <c r="Y94">
        <v>46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46</v>
      </c>
      <c r="AU94" t="s">
        <v>3</v>
      </c>
      <c r="AV94">
        <v>1</v>
      </c>
      <c r="AW94">
        <v>2</v>
      </c>
      <c r="AX94">
        <v>42186965</v>
      </c>
      <c r="AY94">
        <v>1</v>
      </c>
      <c r="AZ94">
        <v>0</v>
      </c>
      <c r="BA94">
        <v>92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Y94*Source!I177</f>
        <v>65.55</v>
      </c>
      <c r="CY94">
        <f>AD94</f>
        <v>0</v>
      </c>
      <c r="CZ94">
        <f>AH94</f>
        <v>0</v>
      </c>
      <c r="DA94">
        <f>AL94</f>
        <v>1</v>
      </c>
      <c r="DB94">
        <f t="shared" si="17"/>
        <v>0</v>
      </c>
      <c r="DC94">
        <f t="shared" si="18"/>
        <v>0</v>
      </c>
    </row>
    <row r="95" spans="1:107" x14ac:dyDescent="0.2">
      <c r="A95">
        <f>ROW(Source!A177)</f>
        <v>177</v>
      </c>
      <c r="B95">
        <v>42184655</v>
      </c>
      <c r="C95">
        <v>42186962</v>
      </c>
      <c r="D95">
        <v>40683909</v>
      </c>
      <c r="E95">
        <v>1</v>
      </c>
      <c r="F95">
        <v>1</v>
      </c>
      <c r="G95">
        <v>27</v>
      </c>
      <c r="H95">
        <v>3</v>
      </c>
      <c r="I95" t="s">
        <v>345</v>
      </c>
      <c r="J95" t="s">
        <v>346</v>
      </c>
      <c r="K95" t="s">
        <v>347</v>
      </c>
      <c r="L95">
        <v>1339</v>
      </c>
      <c r="N95">
        <v>1007</v>
      </c>
      <c r="O95" t="s">
        <v>38</v>
      </c>
      <c r="P95" t="s">
        <v>38</v>
      </c>
      <c r="Q95">
        <v>1</v>
      </c>
      <c r="W95">
        <v>0</v>
      </c>
      <c r="X95">
        <v>-1277312656</v>
      </c>
      <c r="Y95">
        <v>15</v>
      </c>
      <c r="AA95">
        <v>753.67</v>
      </c>
      <c r="AB95">
        <v>0</v>
      </c>
      <c r="AC95">
        <v>0</v>
      </c>
      <c r="AD95">
        <v>0</v>
      </c>
      <c r="AE95">
        <v>753.67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15</v>
      </c>
      <c r="AU95" t="s">
        <v>3</v>
      </c>
      <c r="AV95">
        <v>0</v>
      </c>
      <c r="AW95">
        <v>2</v>
      </c>
      <c r="AX95">
        <v>42186966</v>
      </c>
      <c r="AY95">
        <v>1</v>
      </c>
      <c r="AZ95">
        <v>0</v>
      </c>
      <c r="BA95">
        <v>93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Y95*Source!I177</f>
        <v>21.375</v>
      </c>
      <c r="CY95">
        <f>AA95</f>
        <v>753.67</v>
      </c>
      <c r="CZ95">
        <f>AE95</f>
        <v>753.67</v>
      </c>
      <c r="DA95">
        <f>AI95</f>
        <v>1</v>
      </c>
      <c r="DB95">
        <f t="shared" si="17"/>
        <v>11305.05</v>
      </c>
      <c r="DC95">
        <f t="shared" si="18"/>
        <v>0</v>
      </c>
    </row>
    <row r="96" spans="1:107" x14ac:dyDescent="0.2">
      <c r="A96">
        <f>ROW(Source!A178)</f>
        <v>178</v>
      </c>
      <c r="B96">
        <v>42184655</v>
      </c>
      <c r="C96">
        <v>42186967</v>
      </c>
      <c r="D96">
        <v>40662784</v>
      </c>
      <c r="E96">
        <v>27</v>
      </c>
      <c r="F96">
        <v>1</v>
      </c>
      <c r="G96">
        <v>27</v>
      </c>
      <c r="H96">
        <v>1</v>
      </c>
      <c r="I96" t="s">
        <v>272</v>
      </c>
      <c r="J96" t="s">
        <v>3</v>
      </c>
      <c r="K96" t="s">
        <v>273</v>
      </c>
      <c r="L96">
        <v>1191</v>
      </c>
      <c r="N96">
        <v>1013</v>
      </c>
      <c r="O96" t="s">
        <v>274</v>
      </c>
      <c r="P96" t="s">
        <v>274</v>
      </c>
      <c r="Q96">
        <v>1</v>
      </c>
      <c r="W96">
        <v>0</v>
      </c>
      <c r="X96">
        <v>476480486</v>
      </c>
      <c r="Y96">
        <v>6.29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6.29</v>
      </c>
      <c r="AU96" t="s">
        <v>3</v>
      </c>
      <c r="AV96">
        <v>1</v>
      </c>
      <c r="AW96">
        <v>2</v>
      </c>
      <c r="AX96">
        <v>42186970</v>
      </c>
      <c r="AY96">
        <v>1</v>
      </c>
      <c r="AZ96">
        <v>0</v>
      </c>
      <c r="BA96">
        <v>94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Y96*Source!I178</f>
        <v>-35.853000000000002</v>
      </c>
      <c r="CY96">
        <f>AD96</f>
        <v>0</v>
      </c>
      <c r="CZ96">
        <f>AH96</f>
        <v>0</v>
      </c>
      <c r="DA96">
        <f>AL96</f>
        <v>1</v>
      </c>
      <c r="DB96">
        <f t="shared" si="17"/>
        <v>0</v>
      </c>
      <c r="DC96">
        <f t="shared" si="18"/>
        <v>0</v>
      </c>
    </row>
    <row r="97" spans="1:107" x14ac:dyDescent="0.2">
      <c r="A97">
        <f>ROW(Source!A178)</f>
        <v>178</v>
      </c>
      <c r="B97">
        <v>42184655</v>
      </c>
      <c r="C97">
        <v>42186967</v>
      </c>
      <c r="D97">
        <v>40683909</v>
      </c>
      <c r="E97">
        <v>1</v>
      </c>
      <c r="F97">
        <v>1</v>
      </c>
      <c r="G97">
        <v>27</v>
      </c>
      <c r="H97">
        <v>3</v>
      </c>
      <c r="I97" t="s">
        <v>345</v>
      </c>
      <c r="J97" t="s">
        <v>346</v>
      </c>
      <c r="K97" t="s">
        <v>347</v>
      </c>
      <c r="L97">
        <v>1339</v>
      </c>
      <c r="N97">
        <v>1007</v>
      </c>
      <c r="O97" t="s">
        <v>38</v>
      </c>
      <c r="P97" t="s">
        <v>38</v>
      </c>
      <c r="Q97">
        <v>1</v>
      </c>
      <c r="W97">
        <v>0</v>
      </c>
      <c r="X97">
        <v>-1277312656</v>
      </c>
      <c r="Y97">
        <v>5</v>
      </c>
      <c r="AA97">
        <v>753.67</v>
      </c>
      <c r="AB97">
        <v>0</v>
      </c>
      <c r="AC97">
        <v>0</v>
      </c>
      <c r="AD97">
        <v>0</v>
      </c>
      <c r="AE97">
        <v>753.67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5</v>
      </c>
      <c r="AU97" t="s">
        <v>3</v>
      </c>
      <c r="AV97">
        <v>0</v>
      </c>
      <c r="AW97">
        <v>2</v>
      </c>
      <c r="AX97">
        <v>42186971</v>
      </c>
      <c r="AY97">
        <v>1</v>
      </c>
      <c r="AZ97">
        <v>0</v>
      </c>
      <c r="BA97">
        <v>95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Y97*Source!I178</f>
        <v>-28.5</v>
      </c>
      <c r="CY97">
        <f>AA97</f>
        <v>753.67</v>
      </c>
      <c r="CZ97">
        <f>AE97</f>
        <v>753.67</v>
      </c>
      <c r="DA97">
        <f>AI97</f>
        <v>1</v>
      </c>
      <c r="DB97">
        <f t="shared" si="17"/>
        <v>3768.35</v>
      </c>
      <c r="DC97">
        <f t="shared" si="18"/>
        <v>0</v>
      </c>
    </row>
    <row r="98" spans="1:107" x14ac:dyDescent="0.2">
      <c r="A98">
        <f>ROW(Source!A179)</f>
        <v>179</v>
      </c>
      <c r="B98">
        <v>42184655</v>
      </c>
      <c r="C98">
        <v>42186972</v>
      </c>
      <c r="D98">
        <v>40662784</v>
      </c>
      <c r="E98">
        <v>27</v>
      </c>
      <c r="F98">
        <v>1</v>
      </c>
      <c r="G98">
        <v>27</v>
      </c>
      <c r="H98">
        <v>1</v>
      </c>
      <c r="I98" t="s">
        <v>272</v>
      </c>
      <c r="J98" t="s">
        <v>3</v>
      </c>
      <c r="K98" t="s">
        <v>273</v>
      </c>
      <c r="L98">
        <v>1191</v>
      </c>
      <c r="N98">
        <v>1013</v>
      </c>
      <c r="O98" t="s">
        <v>274</v>
      </c>
      <c r="P98" t="s">
        <v>274</v>
      </c>
      <c r="Q98">
        <v>1</v>
      </c>
      <c r="W98">
        <v>0</v>
      </c>
      <c r="X98">
        <v>476480486</v>
      </c>
      <c r="Y98">
        <v>6.04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6.04</v>
      </c>
      <c r="AU98" t="s">
        <v>3</v>
      </c>
      <c r="AV98">
        <v>1</v>
      </c>
      <c r="AW98">
        <v>2</v>
      </c>
      <c r="AX98">
        <v>42186976</v>
      </c>
      <c r="AY98">
        <v>1</v>
      </c>
      <c r="AZ98">
        <v>0</v>
      </c>
      <c r="BA98">
        <v>96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Y98*Source!I179</f>
        <v>34.428000000000004</v>
      </c>
      <c r="CY98">
        <f>AD98</f>
        <v>0</v>
      </c>
      <c r="CZ98">
        <f>AH98</f>
        <v>0</v>
      </c>
      <c r="DA98">
        <f>AL98</f>
        <v>1</v>
      </c>
      <c r="DB98">
        <f t="shared" si="17"/>
        <v>0</v>
      </c>
      <c r="DC98">
        <f t="shared" si="18"/>
        <v>0</v>
      </c>
    </row>
    <row r="99" spans="1:107" x14ac:dyDescent="0.2">
      <c r="A99">
        <f>ROW(Source!A179)</f>
        <v>179</v>
      </c>
      <c r="B99">
        <v>42184655</v>
      </c>
      <c r="C99">
        <v>42186972</v>
      </c>
      <c r="D99">
        <v>40682177</v>
      </c>
      <c r="E99">
        <v>1</v>
      </c>
      <c r="F99">
        <v>1</v>
      </c>
      <c r="G99">
        <v>27</v>
      </c>
      <c r="H99">
        <v>3</v>
      </c>
      <c r="I99" t="s">
        <v>303</v>
      </c>
      <c r="J99" t="s">
        <v>304</v>
      </c>
      <c r="K99" t="s">
        <v>305</v>
      </c>
      <c r="L99">
        <v>1339</v>
      </c>
      <c r="N99">
        <v>1007</v>
      </c>
      <c r="O99" t="s">
        <v>38</v>
      </c>
      <c r="P99" t="s">
        <v>38</v>
      </c>
      <c r="Q99">
        <v>1</v>
      </c>
      <c r="W99">
        <v>0</v>
      </c>
      <c r="X99">
        <v>2028445372</v>
      </c>
      <c r="Y99">
        <v>10</v>
      </c>
      <c r="AA99">
        <v>35.25</v>
      </c>
      <c r="AB99">
        <v>0</v>
      </c>
      <c r="AC99">
        <v>0</v>
      </c>
      <c r="AD99">
        <v>0</v>
      </c>
      <c r="AE99">
        <v>35.25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10</v>
      </c>
      <c r="AU99" t="s">
        <v>3</v>
      </c>
      <c r="AV99">
        <v>0</v>
      </c>
      <c r="AW99">
        <v>2</v>
      </c>
      <c r="AX99">
        <v>42186977</v>
      </c>
      <c r="AY99">
        <v>1</v>
      </c>
      <c r="AZ99">
        <v>0</v>
      </c>
      <c r="BA99">
        <v>97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Y99*Source!I179</f>
        <v>57</v>
      </c>
      <c r="CY99">
        <f>AA99</f>
        <v>35.25</v>
      </c>
      <c r="CZ99">
        <f>AE99</f>
        <v>35.25</v>
      </c>
      <c r="DA99">
        <f>AI99</f>
        <v>1</v>
      </c>
      <c r="DB99">
        <f t="shared" si="17"/>
        <v>352.5</v>
      </c>
      <c r="DC99">
        <f t="shared" si="18"/>
        <v>0</v>
      </c>
    </row>
    <row r="100" spans="1:107" x14ac:dyDescent="0.2">
      <c r="A100">
        <f>ROW(Source!A179)</f>
        <v>179</v>
      </c>
      <c r="B100">
        <v>42184655</v>
      </c>
      <c r="C100">
        <v>42186972</v>
      </c>
      <c r="D100">
        <v>40683914</v>
      </c>
      <c r="E100">
        <v>1</v>
      </c>
      <c r="F100">
        <v>1</v>
      </c>
      <c r="G100">
        <v>27</v>
      </c>
      <c r="H100">
        <v>3</v>
      </c>
      <c r="I100" t="s">
        <v>348</v>
      </c>
      <c r="J100" t="s">
        <v>349</v>
      </c>
      <c r="K100" t="s">
        <v>350</v>
      </c>
      <c r="L100">
        <v>1346</v>
      </c>
      <c r="N100">
        <v>1009</v>
      </c>
      <c r="O100" t="s">
        <v>228</v>
      </c>
      <c r="P100" t="s">
        <v>228</v>
      </c>
      <c r="Q100">
        <v>1</v>
      </c>
      <c r="W100">
        <v>0</v>
      </c>
      <c r="X100">
        <v>1601918108</v>
      </c>
      <c r="Y100">
        <v>4</v>
      </c>
      <c r="AA100">
        <v>303.08999999999997</v>
      </c>
      <c r="AB100">
        <v>0</v>
      </c>
      <c r="AC100">
        <v>0</v>
      </c>
      <c r="AD100">
        <v>0</v>
      </c>
      <c r="AE100">
        <v>303.08999999999997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4</v>
      </c>
      <c r="AU100" t="s">
        <v>3</v>
      </c>
      <c r="AV100">
        <v>0</v>
      </c>
      <c r="AW100">
        <v>2</v>
      </c>
      <c r="AX100">
        <v>42186978</v>
      </c>
      <c r="AY100">
        <v>1</v>
      </c>
      <c r="AZ100">
        <v>0</v>
      </c>
      <c r="BA100">
        <v>98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Y100*Source!I179</f>
        <v>22.8</v>
      </c>
      <c r="CY100">
        <f>AA100</f>
        <v>303.08999999999997</v>
      </c>
      <c r="CZ100">
        <f>AE100</f>
        <v>303.08999999999997</v>
      </c>
      <c r="DA100">
        <f>AI100</f>
        <v>1</v>
      </c>
      <c r="DB100">
        <f t="shared" si="17"/>
        <v>1212.3599999999999</v>
      </c>
      <c r="DC100">
        <f t="shared" si="18"/>
        <v>0</v>
      </c>
    </row>
    <row r="101" spans="1:107" x14ac:dyDescent="0.2">
      <c r="A101">
        <f>ROW(Source!A217)</f>
        <v>217</v>
      </c>
      <c r="B101">
        <v>42184655</v>
      </c>
      <c r="C101">
        <v>42319933</v>
      </c>
      <c r="D101">
        <v>40662784</v>
      </c>
      <c r="E101">
        <v>27</v>
      </c>
      <c r="F101">
        <v>1</v>
      </c>
      <c r="G101">
        <v>27</v>
      </c>
      <c r="H101">
        <v>1</v>
      </c>
      <c r="I101" t="s">
        <v>272</v>
      </c>
      <c r="J101" t="s">
        <v>3</v>
      </c>
      <c r="K101" t="s">
        <v>273</v>
      </c>
      <c r="L101">
        <v>1191</v>
      </c>
      <c r="N101">
        <v>1013</v>
      </c>
      <c r="O101" t="s">
        <v>274</v>
      </c>
      <c r="P101" t="s">
        <v>274</v>
      </c>
      <c r="Q101">
        <v>1</v>
      </c>
      <c r="W101">
        <v>0</v>
      </c>
      <c r="X101">
        <v>476480486</v>
      </c>
      <c r="Y101">
        <v>34.44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34.44</v>
      </c>
      <c r="AU101" t="s">
        <v>3</v>
      </c>
      <c r="AV101">
        <v>1</v>
      </c>
      <c r="AW101">
        <v>2</v>
      </c>
      <c r="AX101">
        <v>42319937</v>
      </c>
      <c r="AY101">
        <v>1</v>
      </c>
      <c r="AZ101">
        <v>0</v>
      </c>
      <c r="BA101">
        <v>99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Y101*Source!I217</f>
        <v>11.020799999999999</v>
      </c>
      <c r="CY101">
        <f>AD101</f>
        <v>0</v>
      </c>
      <c r="CZ101">
        <f>AH101</f>
        <v>0</v>
      </c>
      <c r="DA101">
        <f>AL101</f>
        <v>1</v>
      </c>
      <c r="DB101">
        <f t="shared" si="17"/>
        <v>0</v>
      </c>
      <c r="DC101">
        <f t="shared" si="18"/>
        <v>0</v>
      </c>
    </row>
    <row r="102" spans="1:107" x14ac:dyDescent="0.2">
      <c r="A102">
        <f>ROW(Source!A217)</f>
        <v>217</v>
      </c>
      <c r="B102">
        <v>42184655</v>
      </c>
      <c r="C102">
        <v>42319933</v>
      </c>
      <c r="D102">
        <v>40679287</v>
      </c>
      <c r="E102">
        <v>1</v>
      </c>
      <c r="F102">
        <v>1</v>
      </c>
      <c r="G102">
        <v>27</v>
      </c>
      <c r="H102">
        <v>2</v>
      </c>
      <c r="I102" t="s">
        <v>351</v>
      </c>
      <c r="J102" t="s">
        <v>352</v>
      </c>
      <c r="K102" t="s">
        <v>353</v>
      </c>
      <c r="L102">
        <v>1368</v>
      </c>
      <c r="N102">
        <v>1011</v>
      </c>
      <c r="O102" t="s">
        <v>278</v>
      </c>
      <c r="P102" t="s">
        <v>278</v>
      </c>
      <c r="Q102">
        <v>1</v>
      </c>
      <c r="W102">
        <v>0</v>
      </c>
      <c r="X102">
        <v>1879655707</v>
      </c>
      <c r="Y102">
        <v>0.68</v>
      </c>
      <c r="AA102">
        <v>0</v>
      </c>
      <c r="AB102">
        <v>812.16</v>
      </c>
      <c r="AC102">
        <v>448.48</v>
      </c>
      <c r="AD102">
        <v>0</v>
      </c>
      <c r="AE102">
        <v>0</v>
      </c>
      <c r="AF102">
        <v>812.16</v>
      </c>
      <c r="AG102">
        <v>448.48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0.68</v>
      </c>
      <c r="AU102" t="s">
        <v>3</v>
      </c>
      <c r="AV102">
        <v>0</v>
      </c>
      <c r="AW102">
        <v>2</v>
      </c>
      <c r="AX102">
        <v>42319938</v>
      </c>
      <c r="AY102">
        <v>1</v>
      </c>
      <c r="AZ102">
        <v>0</v>
      </c>
      <c r="BA102">
        <v>100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Y102*Source!I217</f>
        <v>0.21760000000000002</v>
      </c>
      <c r="CY102">
        <f>AB102</f>
        <v>812.16</v>
      </c>
      <c r="CZ102">
        <f>AF102</f>
        <v>812.16</v>
      </c>
      <c r="DA102">
        <f>AJ102</f>
        <v>1</v>
      </c>
      <c r="DB102">
        <f t="shared" si="17"/>
        <v>552.27</v>
      </c>
      <c r="DC102">
        <f t="shared" si="18"/>
        <v>304.97000000000003</v>
      </c>
    </row>
    <row r="103" spans="1:107" x14ac:dyDescent="0.2">
      <c r="A103">
        <f>ROW(Source!A217)</f>
        <v>217</v>
      </c>
      <c r="B103">
        <v>42184655</v>
      </c>
      <c r="C103">
        <v>42319933</v>
      </c>
      <c r="D103">
        <v>40683918</v>
      </c>
      <c r="E103">
        <v>1</v>
      </c>
      <c r="F103">
        <v>1</v>
      </c>
      <c r="G103">
        <v>27</v>
      </c>
      <c r="H103">
        <v>3</v>
      </c>
      <c r="I103" t="s">
        <v>354</v>
      </c>
      <c r="J103" t="s">
        <v>355</v>
      </c>
      <c r="K103" t="s">
        <v>356</v>
      </c>
      <c r="L103">
        <v>1339</v>
      </c>
      <c r="N103">
        <v>1007</v>
      </c>
      <c r="O103" t="s">
        <v>38</v>
      </c>
      <c r="P103" t="s">
        <v>38</v>
      </c>
      <c r="Q103">
        <v>1</v>
      </c>
      <c r="W103">
        <v>0</v>
      </c>
      <c r="X103">
        <v>1876816084</v>
      </c>
      <c r="Y103">
        <v>2.1</v>
      </c>
      <c r="AA103">
        <v>810.33</v>
      </c>
      <c r="AB103">
        <v>0</v>
      </c>
      <c r="AC103">
        <v>0</v>
      </c>
      <c r="AD103">
        <v>0</v>
      </c>
      <c r="AE103">
        <v>810.33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2.1</v>
      </c>
      <c r="AU103" t="s">
        <v>3</v>
      </c>
      <c r="AV103">
        <v>0</v>
      </c>
      <c r="AW103">
        <v>2</v>
      </c>
      <c r="AX103">
        <v>42319939</v>
      </c>
      <c r="AY103">
        <v>1</v>
      </c>
      <c r="AZ103">
        <v>0</v>
      </c>
      <c r="BA103">
        <v>101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Y103*Source!I217</f>
        <v>0.67200000000000004</v>
      </c>
      <c r="CY103">
        <f>AA103</f>
        <v>810.33</v>
      </c>
      <c r="CZ103">
        <f>AE103</f>
        <v>810.33</v>
      </c>
      <c r="DA103">
        <f>AI103</f>
        <v>1</v>
      </c>
      <c r="DB103">
        <f t="shared" si="17"/>
        <v>1701.69</v>
      </c>
      <c r="DC103">
        <f t="shared" si="18"/>
        <v>0</v>
      </c>
    </row>
    <row r="104" spans="1:107" x14ac:dyDescent="0.2">
      <c r="A104">
        <f>ROW(Source!A217)</f>
        <v>217</v>
      </c>
      <c r="B104">
        <v>42184655</v>
      </c>
      <c r="C104">
        <v>42319933</v>
      </c>
      <c r="D104">
        <v>40683909</v>
      </c>
      <c r="E104">
        <v>1</v>
      </c>
      <c r="F104">
        <v>1</v>
      </c>
      <c r="G104">
        <v>27</v>
      </c>
      <c r="H104">
        <v>3</v>
      </c>
      <c r="I104" t="s">
        <v>345</v>
      </c>
      <c r="J104" t="s">
        <v>346</v>
      </c>
      <c r="K104" t="s">
        <v>347</v>
      </c>
      <c r="L104">
        <v>1339</v>
      </c>
      <c r="N104">
        <v>1007</v>
      </c>
      <c r="O104" t="s">
        <v>38</v>
      </c>
      <c r="P104" t="s">
        <v>38</v>
      </c>
      <c r="Q104">
        <v>1</v>
      </c>
      <c r="W104">
        <v>0</v>
      </c>
      <c r="X104">
        <v>-1277312656</v>
      </c>
      <c r="Y104">
        <v>6.2</v>
      </c>
      <c r="AA104">
        <v>753.67</v>
      </c>
      <c r="AB104">
        <v>0</v>
      </c>
      <c r="AC104">
        <v>0</v>
      </c>
      <c r="AD104">
        <v>0</v>
      </c>
      <c r="AE104">
        <v>753.67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6.2</v>
      </c>
      <c r="AU104" t="s">
        <v>3</v>
      </c>
      <c r="AV104">
        <v>0</v>
      </c>
      <c r="AW104">
        <v>2</v>
      </c>
      <c r="AX104">
        <v>42319940</v>
      </c>
      <c r="AY104">
        <v>1</v>
      </c>
      <c r="AZ104">
        <v>0</v>
      </c>
      <c r="BA104">
        <v>102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Y104*Source!I217</f>
        <v>1.9840000000000002</v>
      </c>
      <c r="CY104">
        <f>AA104</f>
        <v>753.67</v>
      </c>
      <c r="CZ104">
        <f>AE104</f>
        <v>753.67</v>
      </c>
      <c r="DA104">
        <f>AI104</f>
        <v>1</v>
      </c>
      <c r="DB104">
        <f t="shared" si="17"/>
        <v>4672.75</v>
      </c>
      <c r="DC104">
        <f t="shared" si="18"/>
        <v>0</v>
      </c>
    </row>
    <row r="105" spans="1:107" x14ac:dyDescent="0.2">
      <c r="A105">
        <f>ROW(Source!A218)</f>
        <v>218</v>
      </c>
      <c r="B105">
        <v>42184655</v>
      </c>
      <c r="C105">
        <v>42319934</v>
      </c>
      <c r="D105">
        <v>40662784</v>
      </c>
      <c r="E105">
        <v>27</v>
      </c>
      <c r="F105">
        <v>1</v>
      </c>
      <c r="G105">
        <v>27</v>
      </c>
      <c r="H105">
        <v>1</v>
      </c>
      <c r="I105" t="s">
        <v>272</v>
      </c>
      <c r="J105" t="s">
        <v>3</v>
      </c>
      <c r="K105" t="s">
        <v>273</v>
      </c>
      <c r="L105">
        <v>1191</v>
      </c>
      <c r="N105">
        <v>1013</v>
      </c>
      <c r="O105" t="s">
        <v>274</v>
      </c>
      <c r="P105" t="s">
        <v>274</v>
      </c>
      <c r="Q105">
        <v>1</v>
      </c>
      <c r="W105">
        <v>0</v>
      </c>
      <c r="X105">
        <v>476480486</v>
      </c>
      <c r="Y105">
        <v>58.75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58.75</v>
      </c>
      <c r="AU105" t="s">
        <v>3</v>
      </c>
      <c r="AV105">
        <v>1</v>
      </c>
      <c r="AW105">
        <v>2</v>
      </c>
      <c r="AX105">
        <v>42319941</v>
      </c>
      <c r="AY105">
        <v>1</v>
      </c>
      <c r="AZ105">
        <v>0</v>
      </c>
      <c r="BA105">
        <v>103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Y105*Source!I218</f>
        <v>28.2</v>
      </c>
      <c r="CY105">
        <f>AD105</f>
        <v>0</v>
      </c>
      <c r="CZ105">
        <f>AH105</f>
        <v>0</v>
      </c>
      <c r="DA105">
        <f>AL105</f>
        <v>1</v>
      </c>
      <c r="DB105">
        <f t="shared" si="17"/>
        <v>0</v>
      </c>
      <c r="DC105">
        <f t="shared" si="18"/>
        <v>0</v>
      </c>
    </row>
    <row r="106" spans="1:107" x14ac:dyDescent="0.2">
      <c r="A106">
        <f>ROW(Source!A218)</f>
        <v>218</v>
      </c>
      <c r="B106">
        <v>42184655</v>
      </c>
      <c r="C106">
        <v>42319934</v>
      </c>
      <c r="D106">
        <v>40683918</v>
      </c>
      <c r="E106">
        <v>1</v>
      </c>
      <c r="F106">
        <v>1</v>
      </c>
      <c r="G106">
        <v>27</v>
      </c>
      <c r="H106">
        <v>3</v>
      </c>
      <c r="I106" t="s">
        <v>354</v>
      </c>
      <c r="J106" t="s">
        <v>355</v>
      </c>
      <c r="K106" t="s">
        <v>356</v>
      </c>
      <c r="L106">
        <v>1339</v>
      </c>
      <c r="N106">
        <v>1007</v>
      </c>
      <c r="O106" t="s">
        <v>38</v>
      </c>
      <c r="P106" t="s">
        <v>38</v>
      </c>
      <c r="Q106">
        <v>1</v>
      </c>
      <c r="W106">
        <v>0</v>
      </c>
      <c r="X106">
        <v>1876816084</v>
      </c>
      <c r="Y106">
        <v>2.1</v>
      </c>
      <c r="AA106">
        <v>810.33</v>
      </c>
      <c r="AB106">
        <v>0</v>
      </c>
      <c r="AC106">
        <v>0</v>
      </c>
      <c r="AD106">
        <v>0</v>
      </c>
      <c r="AE106">
        <v>810.33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2.1</v>
      </c>
      <c r="AU106" t="s">
        <v>3</v>
      </c>
      <c r="AV106">
        <v>0</v>
      </c>
      <c r="AW106">
        <v>2</v>
      </c>
      <c r="AX106">
        <v>42319942</v>
      </c>
      <c r="AY106">
        <v>1</v>
      </c>
      <c r="AZ106">
        <v>0</v>
      </c>
      <c r="BA106">
        <v>104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Y106*Source!I218</f>
        <v>1.008</v>
      </c>
      <c r="CY106">
        <f>AA106</f>
        <v>810.33</v>
      </c>
      <c r="CZ106">
        <f>AE106</f>
        <v>810.33</v>
      </c>
      <c r="DA106">
        <f>AI106</f>
        <v>1</v>
      </c>
      <c r="DB106">
        <f t="shared" si="17"/>
        <v>1701.69</v>
      </c>
      <c r="DC106">
        <f t="shared" si="18"/>
        <v>0</v>
      </c>
    </row>
    <row r="107" spans="1:107" x14ac:dyDescent="0.2">
      <c r="A107">
        <f>ROW(Source!A218)</f>
        <v>218</v>
      </c>
      <c r="B107">
        <v>42184655</v>
      </c>
      <c r="C107">
        <v>42319934</v>
      </c>
      <c r="D107">
        <v>40683909</v>
      </c>
      <c r="E107">
        <v>1</v>
      </c>
      <c r="F107">
        <v>1</v>
      </c>
      <c r="G107">
        <v>27</v>
      </c>
      <c r="H107">
        <v>3</v>
      </c>
      <c r="I107" t="s">
        <v>345</v>
      </c>
      <c r="J107" t="s">
        <v>346</v>
      </c>
      <c r="K107" t="s">
        <v>347</v>
      </c>
      <c r="L107">
        <v>1339</v>
      </c>
      <c r="N107">
        <v>1007</v>
      </c>
      <c r="O107" t="s">
        <v>38</v>
      </c>
      <c r="P107" t="s">
        <v>38</v>
      </c>
      <c r="Q107">
        <v>1</v>
      </c>
      <c r="W107">
        <v>0</v>
      </c>
      <c r="X107">
        <v>-1277312656</v>
      </c>
      <c r="Y107">
        <v>6.2</v>
      </c>
      <c r="AA107">
        <v>753.67</v>
      </c>
      <c r="AB107">
        <v>0</v>
      </c>
      <c r="AC107">
        <v>0</v>
      </c>
      <c r="AD107">
        <v>0</v>
      </c>
      <c r="AE107">
        <v>753.67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6.2</v>
      </c>
      <c r="AU107" t="s">
        <v>3</v>
      </c>
      <c r="AV107">
        <v>0</v>
      </c>
      <c r="AW107">
        <v>2</v>
      </c>
      <c r="AX107">
        <v>42319943</v>
      </c>
      <c r="AY107">
        <v>1</v>
      </c>
      <c r="AZ107">
        <v>0</v>
      </c>
      <c r="BA107">
        <v>105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Y107*Source!I218</f>
        <v>2.976</v>
      </c>
      <c r="CY107">
        <f>AA107</f>
        <v>753.67</v>
      </c>
      <c r="CZ107">
        <f>AE107</f>
        <v>753.67</v>
      </c>
      <c r="DA107">
        <f>AI107</f>
        <v>1</v>
      </c>
      <c r="DB107">
        <f t="shared" si="17"/>
        <v>4672.75</v>
      </c>
      <c r="DC107">
        <f t="shared" si="18"/>
        <v>0</v>
      </c>
    </row>
    <row r="108" spans="1:107" x14ac:dyDescent="0.2">
      <c r="A108">
        <f>ROW(Source!A219)</f>
        <v>219</v>
      </c>
      <c r="B108">
        <v>42184655</v>
      </c>
      <c r="C108">
        <v>42319935</v>
      </c>
      <c r="D108">
        <v>40662784</v>
      </c>
      <c r="E108">
        <v>27</v>
      </c>
      <c r="F108">
        <v>1</v>
      </c>
      <c r="G108">
        <v>27</v>
      </c>
      <c r="H108">
        <v>1</v>
      </c>
      <c r="I108" t="s">
        <v>272</v>
      </c>
      <c r="J108" t="s">
        <v>3</v>
      </c>
      <c r="K108" t="s">
        <v>273</v>
      </c>
      <c r="L108">
        <v>1191</v>
      </c>
      <c r="N108">
        <v>1013</v>
      </c>
      <c r="O108" t="s">
        <v>274</v>
      </c>
      <c r="P108" t="s">
        <v>274</v>
      </c>
      <c r="Q108">
        <v>1</v>
      </c>
      <c r="W108">
        <v>0</v>
      </c>
      <c r="X108">
        <v>476480486</v>
      </c>
      <c r="Y108">
        <v>20.71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20.71</v>
      </c>
      <c r="AU108" t="s">
        <v>3</v>
      </c>
      <c r="AV108">
        <v>1</v>
      </c>
      <c r="AW108">
        <v>2</v>
      </c>
      <c r="AX108">
        <v>42319954</v>
      </c>
      <c r="AY108">
        <v>1</v>
      </c>
      <c r="AZ108">
        <v>0</v>
      </c>
      <c r="BA108">
        <v>106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Y108*Source!I219</f>
        <v>16.568000000000001</v>
      </c>
      <c r="CY108">
        <f>AD108</f>
        <v>0</v>
      </c>
      <c r="CZ108">
        <f>AH108</f>
        <v>0</v>
      </c>
      <c r="DA108">
        <f>AL108</f>
        <v>1</v>
      </c>
      <c r="DB108">
        <f t="shared" si="17"/>
        <v>0</v>
      </c>
      <c r="DC108">
        <f t="shared" si="18"/>
        <v>0</v>
      </c>
    </row>
    <row r="109" spans="1:107" x14ac:dyDescent="0.2">
      <c r="A109">
        <f>ROW(Source!A219)</f>
        <v>219</v>
      </c>
      <c r="B109">
        <v>42184655</v>
      </c>
      <c r="C109">
        <v>42319935</v>
      </c>
      <c r="D109">
        <v>40679478</v>
      </c>
      <c r="E109">
        <v>1</v>
      </c>
      <c r="F109">
        <v>1</v>
      </c>
      <c r="G109">
        <v>27</v>
      </c>
      <c r="H109">
        <v>2</v>
      </c>
      <c r="I109" t="s">
        <v>291</v>
      </c>
      <c r="J109" t="s">
        <v>292</v>
      </c>
      <c r="K109" t="s">
        <v>293</v>
      </c>
      <c r="L109">
        <v>1368</v>
      </c>
      <c r="N109">
        <v>1011</v>
      </c>
      <c r="O109" t="s">
        <v>278</v>
      </c>
      <c r="P109" t="s">
        <v>278</v>
      </c>
      <c r="Q109">
        <v>1</v>
      </c>
      <c r="W109">
        <v>0</v>
      </c>
      <c r="X109">
        <v>351519474</v>
      </c>
      <c r="Y109">
        <v>0.76</v>
      </c>
      <c r="AA109">
        <v>0</v>
      </c>
      <c r="AB109">
        <v>2020.59</v>
      </c>
      <c r="AC109">
        <v>458.56</v>
      </c>
      <c r="AD109">
        <v>0</v>
      </c>
      <c r="AE109">
        <v>0</v>
      </c>
      <c r="AF109">
        <v>2020.59</v>
      </c>
      <c r="AG109">
        <v>458.56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0.76</v>
      </c>
      <c r="AU109" t="s">
        <v>3</v>
      </c>
      <c r="AV109">
        <v>0</v>
      </c>
      <c r="AW109">
        <v>2</v>
      </c>
      <c r="AX109">
        <v>42319955</v>
      </c>
      <c r="AY109">
        <v>1</v>
      </c>
      <c r="AZ109">
        <v>0</v>
      </c>
      <c r="BA109">
        <v>107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Y109*Source!I219</f>
        <v>0.6080000000000001</v>
      </c>
      <c r="CY109">
        <f>AB109</f>
        <v>2020.59</v>
      </c>
      <c r="CZ109">
        <f>AF109</f>
        <v>2020.59</v>
      </c>
      <c r="DA109">
        <f>AJ109</f>
        <v>1</v>
      </c>
      <c r="DB109">
        <f t="shared" si="17"/>
        <v>1535.65</v>
      </c>
      <c r="DC109">
        <f t="shared" si="18"/>
        <v>348.51</v>
      </c>
    </row>
    <row r="110" spans="1:107" x14ac:dyDescent="0.2">
      <c r="A110">
        <f>ROW(Source!A219)</f>
        <v>219</v>
      </c>
      <c r="B110">
        <v>42184655</v>
      </c>
      <c r="C110">
        <v>42319935</v>
      </c>
      <c r="D110">
        <v>40682000</v>
      </c>
      <c r="E110">
        <v>1</v>
      </c>
      <c r="F110">
        <v>1</v>
      </c>
      <c r="G110">
        <v>27</v>
      </c>
      <c r="H110">
        <v>3</v>
      </c>
      <c r="I110" t="s">
        <v>357</v>
      </c>
      <c r="J110" t="s">
        <v>358</v>
      </c>
      <c r="K110" t="s">
        <v>359</v>
      </c>
      <c r="L110">
        <v>1327</v>
      </c>
      <c r="N110">
        <v>1005</v>
      </c>
      <c r="O110" t="s">
        <v>223</v>
      </c>
      <c r="P110" t="s">
        <v>223</v>
      </c>
      <c r="Q110">
        <v>1</v>
      </c>
      <c r="W110">
        <v>0</v>
      </c>
      <c r="X110">
        <v>-1493859615</v>
      </c>
      <c r="Y110">
        <v>1.5</v>
      </c>
      <c r="AA110">
        <v>91.89</v>
      </c>
      <c r="AB110">
        <v>0</v>
      </c>
      <c r="AC110">
        <v>0</v>
      </c>
      <c r="AD110">
        <v>0</v>
      </c>
      <c r="AE110">
        <v>91.89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1.5</v>
      </c>
      <c r="AU110" t="s">
        <v>3</v>
      </c>
      <c r="AV110">
        <v>0</v>
      </c>
      <c r="AW110">
        <v>2</v>
      </c>
      <c r="AX110">
        <v>42319956</v>
      </c>
      <c r="AY110">
        <v>1</v>
      </c>
      <c r="AZ110">
        <v>0</v>
      </c>
      <c r="BA110">
        <v>108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Y110*Source!I219</f>
        <v>1.2000000000000002</v>
      </c>
      <c r="CY110">
        <f>AA110</f>
        <v>91.89</v>
      </c>
      <c r="CZ110">
        <f>AE110</f>
        <v>91.89</v>
      </c>
      <c r="DA110">
        <f>AI110</f>
        <v>1</v>
      </c>
      <c r="DB110">
        <f t="shared" si="17"/>
        <v>137.84</v>
      </c>
      <c r="DC110">
        <f t="shared" si="18"/>
        <v>0</v>
      </c>
    </row>
    <row r="111" spans="1:107" x14ac:dyDescent="0.2">
      <c r="A111">
        <f>ROW(Source!A219)</f>
        <v>219</v>
      </c>
      <c r="B111">
        <v>42184655</v>
      </c>
      <c r="C111">
        <v>42319935</v>
      </c>
      <c r="D111">
        <v>40682037</v>
      </c>
      <c r="E111">
        <v>1</v>
      </c>
      <c r="F111">
        <v>1</v>
      </c>
      <c r="G111">
        <v>27</v>
      </c>
      <c r="H111">
        <v>3</v>
      </c>
      <c r="I111" t="s">
        <v>360</v>
      </c>
      <c r="J111" t="s">
        <v>361</v>
      </c>
      <c r="K111" t="s">
        <v>362</v>
      </c>
      <c r="L111">
        <v>1346</v>
      </c>
      <c r="N111">
        <v>1009</v>
      </c>
      <c r="O111" t="s">
        <v>228</v>
      </c>
      <c r="P111" t="s">
        <v>228</v>
      </c>
      <c r="Q111">
        <v>1</v>
      </c>
      <c r="W111">
        <v>0</v>
      </c>
      <c r="X111">
        <v>-569863312</v>
      </c>
      <c r="Y111">
        <v>0.3</v>
      </c>
      <c r="AA111">
        <v>171.21</v>
      </c>
      <c r="AB111">
        <v>0</v>
      </c>
      <c r="AC111">
        <v>0</v>
      </c>
      <c r="AD111">
        <v>0</v>
      </c>
      <c r="AE111">
        <v>171.21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0.3</v>
      </c>
      <c r="AU111" t="s">
        <v>3</v>
      </c>
      <c r="AV111">
        <v>0</v>
      </c>
      <c r="AW111">
        <v>2</v>
      </c>
      <c r="AX111">
        <v>42319957</v>
      </c>
      <c r="AY111">
        <v>1</v>
      </c>
      <c r="AZ111">
        <v>0</v>
      </c>
      <c r="BA111">
        <v>109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Y111*Source!I219</f>
        <v>0.24</v>
      </c>
      <c r="CY111">
        <f>AA111</f>
        <v>171.21</v>
      </c>
      <c r="CZ111">
        <f>AE111</f>
        <v>171.21</v>
      </c>
      <c r="DA111">
        <f>AI111</f>
        <v>1</v>
      </c>
      <c r="DB111">
        <f t="shared" si="17"/>
        <v>51.36</v>
      </c>
      <c r="DC111">
        <f t="shared" si="18"/>
        <v>0</v>
      </c>
    </row>
    <row r="112" spans="1:107" x14ac:dyDescent="0.2">
      <c r="A112">
        <f>ROW(Source!A219)</f>
        <v>219</v>
      </c>
      <c r="B112">
        <v>42184655</v>
      </c>
      <c r="C112">
        <v>42319935</v>
      </c>
      <c r="D112">
        <v>40682177</v>
      </c>
      <c r="E112">
        <v>1</v>
      </c>
      <c r="F112">
        <v>1</v>
      </c>
      <c r="G112">
        <v>27</v>
      </c>
      <c r="H112">
        <v>3</v>
      </c>
      <c r="I112" t="s">
        <v>303</v>
      </c>
      <c r="J112" t="s">
        <v>304</v>
      </c>
      <c r="K112" t="s">
        <v>305</v>
      </c>
      <c r="L112">
        <v>1339</v>
      </c>
      <c r="N112">
        <v>1007</v>
      </c>
      <c r="O112" t="s">
        <v>38</v>
      </c>
      <c r="P112" t="s">
        <v>38</v>
      </c>
      <c r="Q112">
        <v>1</v>
      </c>
      <c r="W112">
        <v>0</v>
      </c>
      <c r="X112">
        <v>2028445372</v>
      </c>
      <c r="Y112">
        <v>2.6</v>
      </c>
      <c r="AA112">
        <v>35.25</v>
      </c>
      <c r="AB112">
        <v>0</v>
      </c>
      <c r="AC112">
        <v>0</v>
      </c>
      <c r="AD112">
        <v>0</v>
      </c>
      <c r="AE112">
        <v>35.25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2.6</v>
      </c>
      <c r="AU112" t="s">
        <v>3</v>
      </c>
      <c r="AV112">
        <v>0</v>
      </c>
      <c r="AW112">
        <v>2</v>
      </c>
      <c r="AX112">
        <v>42319958</v>
      </c>
      <c r="AY112">
        <v>1</v>
      </c>
      <c r="AZ112">
        <v>0</v>
      </c>
      <c r="BA112">
        <v>110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Y112*Source!I219</f>
        <v>2.08</v>
      </c>
      <c r="CY112">
        <f>AA112</f>
        <v>35.25</v>
      </c>
      <c r="CZ112">
        <f>AE112</f>
        <v>35.25</v>
      </c>
      <c r="DA112">
        <f>AI112</f>
        <v>1</v>
      </c>
      <c r="DB112">
        <f t="shared" si="17"/>
        <v>91.65</v>
      </c>
      <c r="DC112">
        <f t="shared" si="18"/>
        <v>0</v>
      </c>
    </row>
    <row r="113" spans="1:107" x14ac:dyDescent="0.2">
      <c r="A113">
        <f>ROW(Source!A219)</f>
        <v>219</v>
      </c>
      <c r="B113">
        <v>42184655</v>
      </c>
      <c r="C113">
        <v>42319935</v>
      </c>
      <c r="D113">
        <v>40683488</v>
      </c>
      <c r="E113">
        <v>1</v>
      </c>
      <c r="F113">
        <v>1</v>
      </c>
      <c r="G113">
        <v>27</v>
      </c>
      <c r="H113">
        <v>3</v>
      </c>
      <c r="I113" t="s">
        <v>212</v>
      </c>
      <c r="J113" t="s">
        <v>215</v>
      </c>
      <c r="K113" t="s">
        <v>213</v>
      </c>
      <c r="L113">
        <v>1354</v>
      </c>
      <c r="N113">
        <v>1010</v>
      </c>
      <c r="O113" t="s">
        <v>214</v>
      </c>
      <c r="P113" t="s">
        <v>214</v>
      </c>
      <c r="Q113">
        <v>1</v>
      </c>
      <c r="W113">
        <v>0</v>
      </c>
      <c r="X113">
        <v>-493034466</v>
      </c>
      <c r="Y113">
        <v>10</v>
      </c>
      <c r="AA113">
        <v>2961.58</v>
      </c>
      <c r="AB113">
        <v>0</v>
      </c>
      <c r="AC113">
        <v>0</v>
      </c>
      <c r="AD113">
        <v>0</v>
      </c>
      <c r="AE113">
        <v>2961.58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3</v>
      </c>
      <c r="AT113">
        <v>10</v>
      </c>
      <c r="AU113" t="s">
        <v>3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Y113*Source!I219</f>
        <v>8</v>
      </c>
      <c r="CY113">
        <f>AA113</f>
        <v>2961.58</v>
      </c>
      <c r="CZ113">
        <f>AE113</f>
        <v>2961.58</v>
      </c>
      <c r="DA113">
        <f>AI113</f>
        <v>1</v>
      </c>
      <c r="DB113">
        <f t="shared" si="17"/>
        <v>29615.8</v>
      </c>
      <c r="DC113">
        <f t="shared" si="18"/>
        <v>0</v>
      </c>
    </row>
    <row r="114" spans="1:107" x14ac:dyDescent="0.2">
      <c r="A114">
        <f>ROW(Source!A219)</f>
        <v>219</v>
      </c>
      <c r="B114">
        <v>42184655</v>
      </c>
      <c r="C114">
        <v>42319935</v>
      </c>
      <c r="D114">
        <v>40683910</v>
      </c>
      <c r="E114">
        <v>1</v>
      </c>
      <c r="F114">
        <v>1</v>
      </c>
      <c r="G114">
        <v>27</v>
      </c>
      <c r="H114">
        <v>3</v>
      </c>
      <c r="I114" t="s">
        <v>363</v>
      </c>
      <c r="J114" t="s">
        <v>364</v>
      </c>
      <c r="K114" t="s">
        <v>365</v>
      </c>
      <c r="L114">
        <v>1339</v>
      </c>
      <c r="N114">
        <v>1007</v>
      </c>
      <c r="O114" t="s">
        <v>38</v>
      </c>
      <c r="P114" t="s">
        <v>38</v>
      </c>
      <c r="Q114">
        <v>1</v>
      </c>
      <c r="W114">
        <v>0</v>
      </c>
      <c r="X114">
        <v>1209349807</v>
      </c>
      <c r="Y114">
        <v>0.15840000000000001</v>
      </c>
      <c r="AA114">
        <v>3467</v>
      </c>
      <c r="AB114">
        <v>0</v>
      </c>
      <c r="AC114">
        <v>0</v>
      </c>
      <c r="AD114">
        <v>0</v>
      </c>
      <c r="AE114">
        <v>3467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0.15840000000000001</v>
      </c>
      <c r="AU114" t="s">
        <v>3</v>
      </c>
      <c r="AV114">
        <v>0</v>
      </c>
      <c r="AW114">
        <v>2</v>
      </c>
      <c r="AX114">
        <v>42319959</v>
      </c>
      <c r="AY114">
        <v>1</v>
      </c>
      <c r="AZ114">
        <v>0</v>
      </c>
      <c r="BA114">
        <v>111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Y114*Source!I219</f>
        <v>0.12672000000000003</v>
      </c>
      <c r="CY114">
        <f>AA114</f>
        <v>3467</v>
      </c>
      <c r="CZ114">
        <f>AE114</f>
        <v>3467</v>
      </c>
      <c r="DA114">
        <f>AI114</f>
        <v>1</v>
      </c>
      <c r="DB114">
        <f t="shared" si="17"/>
        <v>549.16999999999996</v>
      </c>
      <c r="DC114">
        <f t="shared" si="18"/>
        <v>0</v>
      </c>
    </row>
    <row r="115" spans="1:107" x14ac:dyDescent="0.2">
      <c r="A115">
        <f>ROW(Source!A255)</f>
        <v>255</v>
      </c>
      <c r="B115">
        <v>42184655</v>
      </c>
      <c r="C115">
        <v>42186979</v>
      </c>
      <c r="D115">
        <v>40662784</v>
      </c>
      <c r="E115">
        <v>27</v>
      </c>
      <c r="F115">
        <v>1</v>
      </c>
      <c r="G115">
        <v>27</v>
      </c>
      <c r="H115">
        <v>1</v>
      </c>
      <c r="I115" t="s">
        <v>272</v>
      </c>
      <c r="J115" t="s">
        <v>3</v>
      </c>
      <c r="K115" t="s">
        <v>273</v>
      </c>
      <c r="L115">
        <v>1191</v>
      </c>
      <c r="N115">
        <v>1013</v>
      </c>
      <c r="O115" t="s">
        <v>274</v>
      </c>
      <c r="P115" t="s">
        <v>274</v>
      </c>
      <c r="Q115">
        <v>1</v>
      </c>
      <c r="W115">
        <v>0</v>
      </c>
      <c r="X115">
        <v>476480486</v>
      </c>
      <c r="Y115">
        <v>18.440000000000001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18.440000000000001</v>
      </c>
      <c r="AU115" t="s">
        <v>3</v>
      </c>
      <c r="AV115">
        <v>1</v>
      </c>
      <c r="AW115">
        <v>2</v>
      </c>
      <c r="AX115">
        <v>42186991</v>
      </c>
      <c r="AY115">
        <v>1</v>
      </c>
      <c r="AZ115">
        <v>0</v>
      </c>
      <c r="BA115">
        <v>113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Y115*Source!I255</f>
        <v>258.16000000000003</v>
      </c>
      <c r="CY115">
        <f>AD115</f>
        <v>0</v>
      </c>
      <c r="CZ115">
        <f>AH115</f>
        <v>0</v>
      </c>
      <c r="DA115">
        <f>AL115</f>
        <v>1</v>
      </c>
      <c r="DB115">
        <f t="shared" si="17"/>
        <v>0</v>
      </c>
      <c r="DC115">
        <f t="shared" si="18"/>
        <v>0</v>
      </c>
    </row>
    <row r="116" spans="1:107" x14ac:dyDescent="0.2">
      <c r="A116">
        <f>ROW(Source!A255)</f>
        <v>255</v>
      </c>
      <c r="B116">
        <v>42184655</v>
      </c>
      <c r="C116">
        <v>42186979</v>
      </c>
      <c r="D116">
        <v>40679964</v>
      </c>
      <c r="E116">
        <v>1</v>
      </c>
      <c r="F116">
        <v>1</v>
      </c>
      <c r="G116">
        <v>27</v>
      </c>
      <c r="H116">
        <v>2</v>
      </c>
      <c r="I116" t="s">
        <v>366</v>
      </c>
      <c r="J116" t="s">
        <v>367</v>
      </c>
      <c r="K116" t="s">
        <v>368</v>
      </c>
      <c r="L116">
        <v>1368</v>
      </c>
      <c r="N116">
        <v>1011</v>
      </c>
      <c r="O116" t="s">
        <v>278</v>
      </c>
      <c r="P116" t="s">
        <v>278</v>
      </c>
      <c r="Q116">
        <v>1</v>
      </c>
      <c r="W116">
        <v>0</v>
      </c>
      <c r="X116">
        <v>2028281919</v>
      </c>
      <c r="Y116">
        <v>2.64</v>
      </c>
      <c r="AA116">
        <v>0</v>
      </c>
      <c r="AB116">
        <v>531.41</v>
      </c>
      <c r="AC116">
        <v>373.56</v>
      </c>
      <c r="AD116">
        <v>0</v>
      </c>
      <c r="AE116">
        <v>0</v>
      </c>
      <c r="AF116">
        <v>531.41</v>
      </c>
      <c r="AG116">
        <v>373.56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2.64</v>
      </c>
      <c r="AU116" t="s">
        <v>3</v>
      </c>
      <c r="AV116">
        <v>0</v>
      </c>
      <c r="AW116">
        <v>2</v>
      </c>
      <c r="AX116">
        <v>42186992</v>
      </c>
      <c r="AY116">
        <v>1</v>
      </c>
      <c r="AZ116">
        <v>0</v>
      </c>
      <c r="BA116">
        <v>114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Y116*Source!I255</f>
        <v>36.96</v>
      </c>
      <c r="CY116">
        <f>AB116</f>
        <v>531.41</v>
      </c>
      <c r="CZ116">
        <f>AF116</f>
        <v>531.41</v>
      </c>
      <c r="DA116">
        <f>AJ116</f>
        <v>1</v>
      </c>
      <c r="DB116">
        <f t="shared" si="17"/>
        <v>1402.92</v>
      </c>
      <c r="DC116">
        <f t="shared" si="18"/>
        <v>986.2</v>
      </c>
    </row>
    <row r="117" spans="1:107" x14ac:dyDescent="0.2">
      <c r="A117">
        <f>ROW(Source!A255)</f>
        <v>255</v>
      </c>
      <c r="B117">
        <v>42184655</v>
      </c>
      <c r="C117">
        <v>42186979</v>
      </c>
      <c r="D117">
        <v>40680187</v>
      </c>
      <c r="E117">
        <v>1</v>
      </c>
      <c r="F117">
        <v>1</v>
      </c>
      <c r="G117">
        <v>27</v>
      </c>
      <c r="H117">
        <v>2</v>
      </c>
      <c r="I117" t="s">
        <v>369</v>
      </c>
      <c r="J117" t="s">
        <v>370</v>
      </c>
      <c r="K117" t="s">
        <v>371</v>
      </c>
      <c r="L117">
        <v>1368</v>
      </c>
      <c r="N117">
        <v>1011</v>
      </c>
      <c r="O117" t="s">
        <v>278</v>
      </c>
      <c r="P117" t="s">
        <v>278</v>
      </c>
      <c r="Q117">
        <v>1</v>
      </c>
      <c r="W117">
        <v>0</v>
      </c>
      <c r="X117">
        <v>-1222982568</v>
      </c>
      <c r="Y117">
        <v>1.18</v>
      </c>
      <c r="AA117">
        <v>0</v>
      </c>
      <c r="AB117">
        <v>7.44</v>
      </c>
      <c r="AC117">
        <v>0.98</v>
      </c>
      <c r="AD117">
        <v>0</v>
      </c>
      <c r="AE117">
        <v>0</v>
      </c>
      <c r="AF117">
        <v>7.44</v>
      </c>
      <c r="AG117">
        <v>0.98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1.18</v>
      </c>
      <c r="AU117" t="s">
        <v>3</v>
      </c>
      <c r="AV117">
        <v>0</v>
      </c>
      <c r="AW117">
        <v>2</v>
      </c>
      <c r="AX117">
        <v>42186993</v>
      </c>
      <c r="AY117">
        <v>1</v>
      </c>
      <c r="AZ117">
        <v>0</v>
      </c>
      <c r="BA117">
        <v>115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Y117*Source!I255</f>
        <v>16.52</v>
      </c>
      <c r="CY117">
        <f>AB117</f>
        <v>7.44</v>
      </c>
      <c r="CZ117">
        <f>AF117</f>
        <v>7.44</v>
      </c>
      <c r="DA117">
        <f>AJ117</f>
        <v>1</v>
      </c>
      <c r="DB117">
        <f t="shared" si="17"/>
        <v>8.7799999999999994</v>
      </c>
      <c r="DC117">
        <f t="shared" si="18"/>
        <v>1.1599999999999999</v>
      </c>
    </row>
    <row r="118" spans="1:107" x14ac:dyDescent="0.2">
      <c r="A118">
        <f>ROW(Source!A255)</f>
        <v>255</v>
      </c>
      <c r="B118">
        <v>42184655</v>
      </c>
      <c r="C118">
        <v>42186979</v>
      </c>
      <c r="D118">
        <v>40679389</v>
      </c>
      <c r="E118">
        <v>1</v>
      </c>
      <c r="F118">
        <v>1</v>
      </c>
      <c r="G118">
        <v>27</v>
      </c>
      <c r="H118">
        <v>2</v>
      </c>
      <c r="I118" t="s">
        <v>372</v>
      </c>
      <c r="J118" t="s">
        <v>373</v>
      </c>
      <c r="K118" t="s">
        <v>374</v>
      </c>
      <c r="L118">
        <v>1368</v>
      </c>
      <c r="N118">
        <v>1011</v>
      </c>
      <c r="O118" t="s">
        <v>278</v>
      </c>
      <c r="P118" t="s">
        <v>278</v>
      </c>
      <c r="Q118">
        <v>1</v>
      </c>
      <c r="W118">
        <v>0</v>
      </c>
      <c r="X118">
        <v>-929482187</v>
      </c>
      <c r="Y118">
        <v>0.01</v>
      </c>
      <c r="AA118">
        <v>0</v>
      </c>
      <c r="AB118">
        <v>616.73</v>
      </c>
      <c r="AC118">
        <v>511.29</v>
      </c>
      <c r="AD118">
        <v>0</v>
      </c>
      <c r="AE118">
        <v>0</v>
      </c>
      <c r="AF118">
        <v>616.73</v>
      </c>
      <c r="AG118">
        <v>511.29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0.01</v>
      </c>
      <c r="AU118" t="s">
        <v>3</v>
      </c>
      <c r="AV118">
        <v>0</v>
      </c>
      <c r="AW118">
        <v>2</v>
      </c>
      <c r="AX118">
        <v>42186994</v>
      </c>
      <c r="AY118">
        <v>1</v>
      </c>
      <c r="AZ118">
        <v>0</v>
      </c>
      <c r="BA118">
        <v>116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Y118*Source!I255</f>
        <v>0.14000000000000001</v>
      </c>
      <c r="CY118">
        <f>AB118</f>
        <v>616.73</v>
      </c>
      <c r="CZ118">
        <f>AF118</f>
        <v>616.73</v>
      </c>
      <c r="DA118">
        <f>AJ118</f>
        <v>1</v>
      </c>
      <c r="DB118">
        <f t="shared" si="17"/>
        <v>6.17</v>
      </c>
      <c r="DC118">
        <f t="shared" si="18"/>
        <v>5.1100000000000003</v>
      </c>
    </row>
    <row r="119" spans="1:107" x14ac:dyDescent="0.2">
      <c r="A119">
        <f>ROW(Source!A255)</f>
        <v>255</v>
      </c>
      <c r="B119">
        <v>42184655</v>
      </c>
      <c r="C119">
        <v>42186979</v>
      </c>
      <c r="D119">
        <v>40679573</v>
      </c>
      <c r="E119">
        <v>1</v>
      </c>
      <c r="F119">
        <v>1</v>
      </c>
      <c r="G119">
        <v>27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278</v>
      </c>
      <c r="P119" t="s">
        <v>278</v>
      </c>
      <c r="Q119">
        <v>1</v>
      </c>
      <c r="W119">
        <v>0</v>
      </c>
      <c r="X119">
        <v>1948933241</v>
      </c>
      <c r="Y119">
        <v>2.64</v>
      </c>
      <c r="AA119">
        <v>0</v>
      </c>
      <c r="AB119">
        <v>454.31</v>
      </c>
      <c r="AC119">
        <v>405.68</v>
      </c>
      <c r="AD119">
        <v>0</v>
      </c>
      <c r="AE119">
        <v>0</v>
      </c>
      <c r="AF119">
        <v>454.31</v>
      </c>
      <c r="AG119">
        <v>405.68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2.64</v>
      </c>
      <c r="AU119" t="s">
        <v>3</v>
      </c>
      <c r="AV119">
        <v>0</v>
      </c>
      <c r="AW119">
        <v>2</v>
      </c>
      <c r="AX119">
        <v>42186995</v>
      </c>
      <c r="AY119">
        <v>1</v>
      </c>
      <c r="AZ119">
        <v>0</v>
      </c>
      <c r="BA119">
        <v>117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Y119*Source!I255</f>
        <v>36.96</v>
      </c>
      <c r="CY119">
        <f>AB119</f>
        <v>454.31</v>
      </c>
      <c r="CZ119">
        <f>AF119</f>
        <v>454.31</v>
      </c>
      <c r="DA119">
        <f>AJ119</f>
        <v>1</v>
      </c>
      <c r="DB119">
        <f t="shared" si="17"/>
        <v>1199.3800000000001</v>
      </c>
      <c r="DC119">
        <f t="shared" si="18"/>
        <v>1071</v>
      </c>
    </row>
    <row r="120" spans="1:107" x14ac:dyDescent="0.2">
      <c r="A120">
        <f>ROW(Source!A255)</f>
        <v>255</v>
      </c>
      <c r="B120">
        <v>42184655</v>
      </c>
      <c r="C120">
        <v>42186979</v>
      </c>
      <c r="D120">
        <v>40682398</v>
      </c>
      <c r="E120">
        <v>1</v>
      </c>
      <c r="F120">
        <v>1</v>
      </c>
      <c r="G120">
        <v>27</v>
      </c>
      <c r="H120">
        <v>3</v>
      </c>
      <c r="I120" t="s">
        <v>221</v>
      </c>
      <c r="J120" t="s">
        <v>224</v>
      </c>
      <c r="K120" t="s">
        <v>222</v>
      </c>
      <c r="L120">
        <v>1327</v>
      </c>
      <c r="N120">
        <v>1005</v>
      </c>
      <c r="O120" t="s">
        <v>223</v>
      </c>
      <c r="P120" t="s">
        <v>223</v>
      </c>
      <c r="Q120">
        <v>1</v>
      </c>
      <c r="W120">
        <v>1</v>
      </c>
      <c r="X120">
        <v>-656702110</v>
      </c>
      <c r="Y120">
        <v>-5.6</v>
      </c>
      <c r="AA120">
        <v>12.02</v>
      </c>
      <c r="AB120">
        <v>0</v>
      </c>
      <c r="AC120">
        <v>0</v>
      </c>
      <c r="AD120">
        <v>0</v>
      </c>
      <c r="AE120">
        <v>12.02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-5.6</v>
      </c>
      <c r="AU120" t="s">
        <v>3</v>
      </c>
      <c r="AV120">
        <v>0</v>
      </c>
      <c r="AW120">
        <v>2</v>
      </c>
      <c r="AX120">
        <v>42186996</v>
      </c>
      <c r="AY120">
        <v>1</v>
      </c>
      <c r="AZ120">
        <v>6144</v>
      </c>
      <c r="BA120">
        <v>118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Y120*Source!I255</f>
        <v>-78.399999999999991</v>
      </c>
      <c r="CY120">
        <f t="shared" ref="CY120:CY125" si="19">AA120</f>
        <v>12.02</v>
      </c>
      <c r="CZ120">
        <f t="shared" ref="CZ120:CZ125" si="20">AE120</f>
        <v>12.02</v>
      </c>
      <c r="DA120">
        <f t="shared" ref="DA120:DA125" si="21">AI120</f>
        <v>1</v>
      </c>
      <c r="DB120">
        <f t="shared" si="17"/>
        <v>-67.31</v>
      </c>
      <c r="DC120">
        <f t="shared" si="18"/>
        <v>0</v>
      </c>
    </row>
    <row r="121" spans="1:107" x14ac:dyDescent="0.2">
      <c r="A121">
        <f>ROW(Source!A255)</f>
        <v>255</v>
      </c>
      <c r="B121">
        <v>42184655</v>
      </c>
      <c r="C121">
        <v>42186979</v>
      </c>
      <c r="D121">
        <v>40682485</v>
      </c>
      <c r="E121">
        <v>1</v>
      </c>
      <c r="F121">
        <v>1</v>
      </c>
      <c r="G121">
        <v>27</v>
      </c>
      <c r="H121">
        <v>3</v>
      </c>
      <c r="I121" t="s">
        <v>378</v>
      </c>
      <c r="J121" t="s">
        <v>379</v>
      </c>
      <c r="K121" t="s">
        <v>380</v>
      </c>
      <c r="L121">
        <v>1348</v>
      </c>
      <c r="N121">
        <v>1009</v>
      </c>
      <c r="O121" t="s">
        <v>68</v>
      </c>
      <c r="P121" t="s">
        <v>68</v>
      </c>
      <c r="Q121">
        <v>1000</v>
      </c>
      <c r="W121">
        <v>0</v>
      </c>
      <c r="X121">
        <v>2135985724</v>
      </c>
      <c r="Y121">
        <v>3.15E-3</v>
      </c>
      <c r="AA121">
        <v>343020.03</v>
      </c>
      <c r="AB121">
        <v>0</v>
      </c>
      <c r="AC121">
        <v>0</v>
      </c>
      <c r="AD121">
        <v>0</v>
      </c>
      <c r="AE121">
        <v>343020.03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3.15E-3</v>
      </c>
      <c r="AU121" t="s">
        <v>3</v>
      </c>
      <c r="AV121">
        <v>0</v>
      </c>
      <c r="AW121">
        <v>2</v>
      </c>
      <c r="AX121">
        <v>42186997</v>
      </c>
      <c r="AY121">
        <v>1</v>
      </c>
      <c r="AZ121">
        <v>0</v>
      </c>
      <c r="BA121">
        <v>119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Y121*Source!I255</f>
        <v>4.41E-2</v>
      </c>
      <c r="CY121">
        <f t="shared" si="19"/>
        <v>343020.03</v>
      </c>
      <c r="CZ121">
        <f t="shared" si="20"/>
        <v>343020.03</v>
      </c>
      <c r="DA121">
        <f t="shared" si="21"/>
        <v>1</v>
      </c>
      <c r="DB121">
        <f t="shared" si="17"/>
        <v>1080.51</v>
      </c>
      <c r="DC121">
        <f t="shared" si="18"/>
        <v>0</v>
      </c>
    </row>
    <row r="122" spans="1:107" x14ac:dyDescent="0.2">
      <c r="A122">
        <f>ROW(Source!A255)</f>
        <v>255</v>
      </c>
      <c r="B122">
        <v>42184655</v>
      </c>
      <c r="C122">
        <v>42186979</v>
      </c>
      <c r="D122">
        <v>40682702</v>
      </c>
      <c r="E122">
        <v>1</v>
      </c>
      <c r="F122">
        <v>1</v>
      </c>
      <c r="G122">
        <v>27</v>
      </c>
      <c r="H122">
        <v>3</v>
      </c>
      <c r="I122" t="s">
        <v>226</v>
      </c>
      <c r="J122" t="s">
        <v>229</v>
      </c>
      <c r="K122" t="s">
        <v>227</v>
      </c>
      <c r="L122">
        <v>1346</v>
      </c>
      <c r="N122">
        <v>1009</v>
      </c>
      <c r="O122" t="s">
        <v>228</v>
      </c>
      <c r="P122" t="s">
        <v>228</v>
      </c>
      <c r="Q122">
        <v>1</v>
      </c>
      <c r="W122">
        <v>1</v>
      </c>
      <c r="X122">
        <v>-78256104</v>
      </c>
      <c r="Y122">
        <v>-735</v>
      </c>
      <c r="AA122">
        <v>17.77</v>
      </c>
      <c r="AB122">
        <v>0</v>
      </c>
      <c r="AC122">
        <v>0</v>
      </c>
      <c r="AD122">
        <v>0</v>
      </c>
      <c r="AE122">
        <v>17.77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-735</v>
      </c>
      <c r="AU122" t="s">
        <v>3</v>
      </c>
      <c r="AV122">
        <v>0</v>
      </c>
      <c r="AW122">
        <v>2</v>
      </c>
      <c r="AX122">
        <v>42186998</v>
      </c>
      <c r="AY122">
        <v>1</v>
      </c>
      <c r="AZ122">
        <v>6144</v>
      </c>
      <c r="BA122">
        <v>120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Y122*Source!I255</f>
        <v>-10290</v>
      </c>
      <c r="CY122">
        <f t="shared" si="19"/>
        <v>17.77</v>
      </c>
      <c r="CZ122">
        <f t="shared" si="20"/>
        <v>17.77</v>
      </c>
      <c r="DA122">
        <f t="shared" si="21"/>
        <v>1</v>
      </c>
      <c r="DB122">
        <f t="shared" si="17"/>
        <v>-13060.95</v>
      </c>
      <c r="DC122">
        <f t="shared" si="18"/>
        <v>0</v>
      </c>
    </row>
    <row r="123" spans="1:107" x14ac:dyDescent="0.2">
      <c r="A123">
        <f>ROW(Source!A255)</f>
        <v>255</v>
      </c>
      <c r="B123">
        <v>42184655</v>
      </c>
      <c r="C123">
        <v>42186979</v>
      </c>
      <c r="D123">
        <v>40682703</v>
      </c>
      <c r="E123">
        <v>1</v>
      </c>
      <c r="F123">
        <v>1</v>
      </c>
      <c r="G123">
        <v>27</v>
      </c>
      <c r="H123">
        <v>3</v>
      </c>
      <c r="I123" t="s">
        <v>231</v>
      </c>
      <c r="J123" t="s">
        <v>233</v>
      </c>
      <c r="K123" t="s">
        <v>232</v>
      </c>
      <c r="L123">
        <v>1346</v>
      </c>
      <c r="N123">
        <v>1009</v>
      </c>
      <c r="O123" t="s">
        <v>228</v>
      </c>
      <c r="P123" t="s">
        <v>228</v>
      </c>
      <c r="Q123">
        <v>1</v>
      </c>
      <c r="W123">
        <v>0</v>
      </c>
      <c r="X123">
        <v>1723842548</v>
      </c>
      <c r="Y123">
        <v>735</v>
      </c>
      <c r="AA123">
        <v>94.72</v>
      </c>
      <c r="AB123">
        <v>0</v>
      </c>
      <c r="AC123">
        <v>0</v>
      </c>
      <c r="AD123">
        <v>0</v>
      </c>
      <c r="AE123">
        <v>94.72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3</v>
      </c>
      <c r="AT123">
        <v>735</v>
      </c>
      <c r="AU123" t="s">
        <v>3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Y123*Source!I255</f>
        <v>10290</v>
      </c>
      <c r="CY123">
        <f t="shared" si="19"/>
        <v>94.72</v>
      </c>
      <c r="CZ123">
        <f t="shared" si="20"/>
        <v>94.72</v>
      </c>
      <c r="DA123">
        <f t="shared" si="21"/>
        <v>1</v>
      </c>
      <c r="DB123">
        <f t="shared" si="17"/>
        <v>69619.199999999997</v>
      </c>
      <c r="DC123">
        <f t="shared" si="18"/>
        <v>0</v>
      </c>
    </row>
    <row r="124" spans="1:107" x14ac:dyDescent="0.2">
      <c r="A124">
        <f>ROW(Source!A255)</f>
        <v>255</v>
      </c>
      <c r="B124">
        <v>42184655</v>
      </c>
      <c r="C124">
        <v>42186979</v>
      </c>
      <c r="D124">
        <v>40682709</v>
      </c>
      <c r="E124">
        <v>1</v>
      </c>
      <c r="F124">
        <v>1</v>
      </c>
      <c r="G124">
        <v>27</v>
      </c>
      <c r="H124">
        <v>3</v>
      </c>
      <c r="I124" t="s">
        <v>381</v>
      </c>
      <c r="J124" t="s">
        <v>382</v>
      </c>
      <c r="K124" t="s">
        <v>383</v>
      </c>
      <c r="L124">
        <v>1346</v>
      </c>
      <c r="N124">
        <v>1009</v>
      </c>
      <c r="O124" t="s">
        <v>228</v>
      </c>
      <c r="P124" t="s">
        <v>228</v>
      </c>
      <c r="Q124">
        <v>1</v>
      </c>
      <c r="W124">
        <v>0</v>
      </c>
      <c r="X124">
        <v>1434584530</v>
      </c>
      <c r="Y124">
        <v>241.5</v>
      </c>
      <c r="AA124">
        <v>202.34</v>
      </c>
      <c r="AB124">
        <v>0</v>
      </c>
      <c r="AC124">
        <v>0</v>
      </c>
      <c r="AD124">
        <v>0</v>
      </c>
      <c r="AE124">
        <v>202.34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241.5</v>
      </c>
      <c r="AU124" t="s">
        <v>3</v>
      </c>
      <c r="AV124">
        <v>0</v>
      </c>
      <c r="AW124">
        <v>2</v>
      </c>
      <c r="AX124">
        <v>42186999</v>
      </c>
      <c r="AY124">
        <v>1</v>
      </c>
      <c r="AZ124">
        <v>0</v>
      </c>
      <c r="BA124">
        <v>121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Y124*Source!I255</f>
        <v>3381</v>
      </c>
      <c r="CY124">
        <f t="shared" si="19"/>
        <v>202.34</v>
      </c>
      <c r="CZ124">
        <f t="shared" si="20"/>
        <v>202.34</v>
      </c>
      <c r="DA124">
        <f t="shared" si="21"/>
        <v>1</v>
      </c>
      <c r="DB124">
        <f t="shared" si="17"/>
        <v>48865.11</v>
      </c>
      <c r="DC124">
        <f t="shared" si="18"/>
        <v>0</v>
      </c>
    </row>
    <row r="125" spans="1:107" x14ac:dyDescent="0.2">
      <c r="A125">
        <f>ROW(Source!A255)</f>
        <v>255</v>
      </c>
      <c r="B125">
        <v>42184655</v>
      </c>
      <c r="C125">
        <v>42186979</v>
      </c>
      <c r="D125">
        <v>40680676</v>
      </c>
      <c r="E125">
        <v>1</v>
      </c>
      <c r="F125">
        <v>1</v>
      </c>
      <c r="G125">
        <v>27</v>
      </c>
      <c r="H125">
        <v>3</v>
      </c>
      <c r="I125" t="s">
        <v>384</v>
      </c>
      <c r="J125" t="s">
        <v>385</v>
      </c>
      <c r="K125" t="s">
        <v>386</v>
      </c>
      <c r="L125">
        <v>1348</v>
      </c>
      <c r="N125">
        <v>1009</v>
      </c>
      <c r="O125" t="s">
        <v>68</v>
      </c>
      <c r="P125" t="s">
        <v>68</v>
      </c>
      <c r="Q125">
        <v>1000</v>
      </c>
      <c r="W125">
        <v>0</v>
      </c>
      <c r="X125">
        <v>-629368275</v>
      </c>
      <c r="Y125">
        <v>5.2499999999999998E-2</v>
      </c>
      <c r="AA125">
        <v>748299.67</v>
      </c>
      <c r="AB125">
        <v>0</v>
      </c>
      <c r="AC125">
        <v>0</v>
      </c>
      <c r="AD125">
        <v>0</v>
      </c>
      <c r="AE125">
        <v>748299.67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5.2499999999999998E-2</v>
      </c>
      <c r="AU125" t="s">
        <v>3</v>
      </c>
      <c r="AV125">
        <v>0</v>
      </c>
      <c r="AW125">
        <v>2</v>
      </c>
      <c r="AX125">
        <v>42187000</v>
      </c>
      <c r="AY125">
        <v>1</v>
      </c>
      <c r="AZ125">
        <v>0</v>
      </c>
      <c r="BA125">
        <v>122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Y125*Source!I255</f>
        <v>0.73499999999999999</v>
      </c>
      <c r="CY125">
        <f t="shared" si="19"/>
        <v>748299.67</v>
      </c>
      <c r="CZ125">
        <f t="shared" si="20"/>
        <v>748299.67</v>
      </c>
      <c r="DA125">
        <f t="shared" si="21"/>
        <v>1</v>
      </c>
      <c r="DB125">
        <f t="shared" si="17"/>
        <v>39285.730000000003</v>
      </c>
      <c r="DC125">
        <f t="shared" si="18"/>
        <v>0</v>
      </c>
    </row>
    <row r="126" spans="1:107" x14ac:dyDescent="0.2">
      <c r="A126">
        <f>ROW(Source!A296)</f>
        <v>296</v>
      </c>
      <c r="B126">
        <v>42184655</v>
      </c>
      <c r="C126">
        <v>42187004</v>
      </c>
      <c r="D126">
        <v>40662784</v>
      </c>
      <c r="E126">
        <v>27</v>
      </c>
      <c r="F126">
        <v>1</v>
      </c>
      <c r="G126">
        <v>27</v>
      </c>
      <c r="H126">
        <v>1</v>
      </c>
      <c r="I126" t="s">
        <v>272</v>
      </c>
      <c r="J126" t="s">
        <v>3</v>
      </c>
      <c r="K126" t="s">
        <v>273</v>
      </c>
      <c r="L126">
        <v>1191</v>
      </c>
      <c r="N126">
        <v>1013</v>
      </c>
      <c r="O126" t="s">
        <v>274</v>
      </c>
      <c r="P126" t="s">
        <v>274</v>
      </c>
      <c r="Q126">
        <v>1</v>
      </c>
      <c r="W126">
        <v>0</v>
      </c>
      <c r="X126">
        <v>476480486</v>
      </c>
      <c r="Y126">
        <v>1.59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1.59</v>
      </c>
      <c r="AU126" t="s">
        <v>3</v>
      </c>
      <c r="AV126">
        <v>1</v>
      </c>
      <c r="AW126">
        <v>2</v>
      </c>
      <c r="AX126">
        <v>42187008</v>
      </c>
      <c r="AY126">
        <v>1</v>
      </c>
      <c r="AZ126">
        <v>0</v>
      </c>
      <c r="BA126">
        <v>123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Y126*Source!I296</f>
        <v>0.36919800000000003</v>
      </c>
      <c r="CY126">
        <f>AD126</f>
        <v>0</v>
      </c>
      <c r="CZ126">
        <f>AH126</f>
        <v>0</v>
      </c>
      <c r="DA126">
        <f>AL126</f>
        <v>1</v>
      </c>
      <c r="DB126">
        <f t="shared" si="17"/>
        <v>0</v>
      </c>
      <c r="DC126">
        <f t="shared" si="18"/>
        <v>0</v>
      </c>
    </row>
    <row r="127" spans="1:107" x14ac:dyDescent="0.2">
      <c r="A127">
        <f>ROW(Source!A296)</f>
        <v>296</v>
      </c>
      <c r="B127">
        <v>42184655</v>
      </c>
      <c r="C127">
        <v>42187004</v>
      </c>
      <c r="D127">
        <v>40679275</v>
      </c>
      <c r="E127">
        <v>1</v>
      </c>
      <c r="F127">
        <v>1</v>
      </c>
      <c r="G127">
        <v>27</v>
      </c>
      <c r="H127">
        <v>2</v>
      </c>
      <c r="I127" t="s">
        <v>275</v>
      </c>
      <c r="J127" t="s">
        <v>276</v>
      </c>
      <c r="K127" t="s">
        <v>277</v>
      </c>
      <c r="L127">
        <v>1368</v>
      </c>
      <c r="N127">
        <v>1011</v>
      </c>
      <c r="O127" t="s">
        <v>278</v>
      </c>
      <c r="P127" t="s">
        <v>278</v>
      </c>
      <c r="Q127">
        <v>1</v>
      </c>
      <c r="W127">
        <v>0</v>
      </c>
      <c r="X127">
        <v>-903558812</v>
      </c>
      <c r="Y127">
        <v>4.9800000000000004</v>
      </c>
      <c r="AA127">
        <v>0</v>
      </c>
      <c r="AB127">
        <v>1493.72</v>
      </c>
      <c r="AC127">
        <v>566.86</v>
      </c>
      <c r="AD127">
        <v>0</v>
      </c>
      <c r="AE127">
        <v>0</v>
      </c>
      <c r="AF127">
        <v>1493.72</v>
      </c>
      <c r="AG127">
        <v>566.86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4.9800000000000004</v>
      </c>
      <c r="AU127" t="s">
        <v>3</v>
      </c>
      <c r="AV127">
        <v>0</v>
      </c>
      <c r="AW127">
        <v>2</v>
      </c>
      <c r="AX127">
        <v>42187009</v>
      </c>
      <c r="AY127">
        <v>1</v>
      </c>
      <c r="AZ127">
        <v>0</v>
      </c>
      <c r="BA127">
        <v>124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Y127*Source!I296</f>
        <v>1.1563559999999999</v>
      </c>
      <c r="CY127">
        <f>AB127</f>
        <v>1493.72</v>
      </c>
      <c r="CZ127">
        <f>AF127</f>
        <v>1493.72</v>
      </c>
      <c r="DA127">
        <f>AJ127</f>
        <v>1</v>
      </c>
      <c r="DB127">
        <f t="shared" si="17"/>
        <v>7438.73</v>
      </c>
      <c r="DC127">
        <f t="shared" si="18"/>
        <v>2822.96</v>
      </c>
    </row>
    <row r="128" spans="1:107" x14ac:dyDescent="0.2">
      <c r="A128">
        <f>ROW(Source!A296)</f>
        <v>296</v>
      </c>
      <c r="B128">
        <v>42184655</v>
      </c>
      <c r="C128">
        <v>42187004</v>
      </c>
      <c r="D128">
        <v>40679298</v>
      </c>
      <c r="E128">
        <v>1</v>
      </c>
      <c r="F128">
        <v>1</v>
      </c>
      <c r="G128">
        <v>27</v>
      </c>
      <c r="H128">
        <v>2</v>
      </c>
      <c r="I128" t="s">
        <v>279</v>
      </c>
      <c r="J128" t="s">
        <v>280</v>
      </c>
      <c r="K128" t="s">
        <v>281</v>
      </c>
      <c r="L128">
        <v>1368</v>
      </c>
      <c r="N128">
        <v>1011</v>
      </c>
      <c r="O128" t="s">
        <v>278</v>
      </c>
      <c r="P128" t="s">
        <v>278</v>
      </c>
      <c r="Q128">
        <v>1</v>
      </c>
      <c r="W128">
        <v>0</v>
      </c>
      <c r="X128">
        <v>-888973741</v>
      </c>
      <c r="Y128">
        <v>1.25</v>
      </c>
      <c r="AA128">
        <v>0</v>
      </c>
      <c r="AB128">
        <v>1072.23</v>
      </c>
      <c r="AC128">
        <v>488.73</v>
      </c>
      <c r="AD128">
        <v>0</v>
      </c>
      <c r="AE128">
        <v>0</v>
      </c>
      <c r="AF128">
        <v>1072.23</v>
      </c>
      <c r="AG128">
        <v>488.73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1.25</v>
      </c>
      <c r="AU128" t="s">
        <v>3</v>
      </c>
      <c r="AV128">
        <v>0</v>
      </c>
      <c r="AW128">
        <v>2</v>
      </c>
      <c r="AX128">
        <v>42187010</v>
      </c>
      <c r="AY128">
        <v>1</v>
      </c>
      <c r="AZ128">
        <v>0</v>
      </c>
      <c r="BA128">
        <v>125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Y128*Source!I296</f>
        <v>0.29025000000000001</v>
      </c>
      <c r="CY128">
        <f>AB128</f>
        <v>1072.23</v>
      </c>
      <c r="CZ128">
        <f>AF128</f>
        <v>1072.23</v>
      </c>
      <c r="DA128">
        <f>AJ128</f>
        <v>1</v>
      </c>
      <c r="DB128">
        <f t="shared" si="17"/>
        <v>1340.29</v>
      </c>
      <c r="DC128">
        <f t="shared" si="18"/>
        <v>610.91</v>
      </c>
    </row>
    <row r="129" spans="1:107" x14ac:dyDescent="0.2">
      <c r="A129">
        <f>ROW(Source!A297)</f>
        <v>297</v>
      </c>
      <c r="B129">
        <v>42184655</v>
      </c>
      <c r="C129">
        <v>42187011</v>
      </c>
      <c r="D129">
        <v>40662784</v>
      </c>
      <c r="E129">
        <v>27</v>
      </c>
      <c r="F129">
        <v>1</v>
      </c>
      <c r="G129">
        <v>27</v>
      </c>
      <c r="H129">
        <v>1</v>
      </c>
      <c r="I129" t="s">
        <v>272</v>
      </c>
      <c r="J129" t="s">
        <v>3</v>
      </c>
      <c r="K129" t="s">
        <v>273</v>
      </c>
      <c r="L129">
        <v>1191</v>
      </c>
      <c r="N129">
        <v>1013</v>
      </c>
      <c r="O129" t="s">
        <v>274</v>
      </c>
      <c r="P129" t="s">
        <v>274</v>
      </c>
      <c r="Q129">
        <v>1</v>
      </c>
      <c r="W129">
        <v>0</v>
      </c>
      <c r="X129">
        <v>476480486</v>
      </c>
      <c r="Y129">
        <v>221.6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221.6</v>
      </c>
      <c r="AU129" t="s">
        <v>3</v>
      </c>
      <c r="AV129">
        <v>1</v>
      </c>
      <c r="AW129">
        <v>2</v>
      </c>
      <c r="AX129">
        <v>42187013</v>
      </c>
      <c r="AY129">
        <v>1</v>
      </c>
      <c r="AZ129">
        <v>0</v>
      </c>
      <c r="BA129">
        <v>126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Y129*Source!I297</f>
        <v>5.7172799999999997</v>
      </c>
      <c r="CY129">
        <f>AD129</f>
        <v>0</v>
      </c>
      <c r="CZ129">
        <f>AH129</f>
        <v>0</v>
      </c>
      <c r="DA129">
        <f>AL129</f>
        <v>1</v>
      </c>
      <c r="DB129">
        <f t="shared" si="17"/>
        <v>0</v>
      </c>
      <c r="DC129">
        <f t="shared" si="18"/>
        <v>0</v>
      </c>
    </row>
    <row r="130" spans="1:107" x14ac:dyDescent="0.2">
      <c r="A130">
        <f>ROW(Source!A298)</f>
        <v>298</v>
      </c>
      <c r="B130">
        <v>42184655</v>
      </c>
      <c r="C130">
        <v>42187014</v>
      </c>
      <c r="D130">
        <v>40662784</v>
      </c>
      <c r="E130">
        <v>27</v>
      </c>
      <c r="F130">
        <v>1</v>
      </c>
      <c r="G130">
        <v>27</v>
      </c>
      <c r="H130">
        <v>1</v>
      </c>
      <c r="I130" t="s">
        <v>272</v>
      </c>
      <c r="J130" t="s">
        <v>3</v>
      </c>
      <c r="K130" t="s">
        <v>273</v>
      </c>
      <c r="L130">
        <v>1191</v>
      </c>
      <c r="N130">
        <v>1013</v>
      </c>
      <c r="O130" t="s">
        <v>274</v>
      </c>
      <c r="P130" t="s">
        <v>274</v>
      </c>
      <c r="Q130">
        <v>1</v>
      </c>
      <c r="W130">
        <v>0</v>
      </c>
      <c r="X130">
        <v>476480486</v>
      </c>
      <c r="Y130">
        <v>83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83</v>
      </c>
      <c r="AU130" t="s">
        <v>3</v>
      </c>
      <c r="AV130">
        <v>1</v>
      </c>
      <c r="AW130">
        <v>2</v>
      </c>
      <c r="AX130">
        <v>42187016</v>
      </c>
      <c r="AY130">
        <v>1</v>
      </c>
      <c r="AZ130">
        <v>0</v>
      </c>
      <c r="BA130">
        <v>127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Y130*Source!I298</f>
        <v>0.21414</v>
      </c>
      <c r="CY130">
        <f>AD130</f>
        <v>0</v>
      </c>
      <c r="CZ130">
        <f>AH130</f>
        <v>0</v>
      </c>
      <c r="DA130">
        <f>AL130</f>
        <v>1</v>
      </c>
      <c r="DB130">
        <f t="shared" si="17"/>
        <v>0</v>
      </c>
      <c r="DC130">
        <f t="shared" si="18"/>
        <v>0</v>
      </c>
    </row>
    <row r="131" spans="1:107" x14ac:dyDescent="0.2">
      <c r="A131">
        <f>ROW(Source!A299)</f>
        <v>299</v>
      </c>
      <c r="B131">
        <v>42184655</v>
      </c>
      <c r="C131">
        <v>42187017</v>
      </c>
      <c r="D131">
        <v>40680075</v>
      </c>
      <c r="E131">
        <v>1</v>
      </c>
      <c r="F131">
        <v>1</v>
      </c>
      <c r="G131">
        <v>27</v>
      </c>
      <c r="H131">
        <v>2</v>
      </c>
      <c r="I131" t="s">
        <v>282</v>
      </c>
      <c r="J131" t="s">
        <v>283</v>
      </c>
      <c r="K131" t="s">
        <v>284</v>
      </c>
      <c r="L131">
        <v>1368</v>
      </c>
      <c r="N131">
        <v>1011</v>
      </c>
      <c r="O131" t="s">
        <v>278</v>
      </c>
      <c r="P131" t="s">
        <v>278</v>
      </c>
      <c r="Q131">
        <v>1</v>
      </c>
      <c r="W131">
        <v>0</v>
      </c>
      <c r="X131">
        <v>-1786200580</v>
      </c>
      <c r="Y131">
        <v>3.1E-2</v>
      </c>
      <c r="AA131">
        <v>0</v>
      </c>
      <c r="AB131">
        <v>1014.12</v>
      </c>
      <c r="AC131">
        <v>317.13</v>
      </c>
      <c r="AD131">
        <v>0</v>
      </c>
      <c r="AE131">
        <v>0</v>
      </c>
      <c r="AF131">
        <v>1014.12</v>
      </c>
      <c r="AG131">
        <v>317.13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3.1E-2</v>
      </c>
      <c r="AU131" t="s">
        <v>3</v>
      </c>
      <c r="AV131">
        <v>0</v>
      </c>
      <c r="AW131">
        <v>2</v>
      </c>
      <c r="AX131">
        <v>42187019</v>
      </c>
      <c r="AY131">
        <v>1</v>
      </c>
      <c r="AZ131">
        <v>0</v>
      </c>
      <c r="BA131">
        <v>128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Y131*Source!I299</f>
        <v>0.79980000000000007</v>
      </c>
      <c r="CY131">
        <f>AB131</f>
        <v>1014.12</v>
      </c>
      <c r="CZ131">
        <f>AF131</f>
        <v>1014.12</v>
      </c>
      <c r="DA131">
        <f>AJ131</f>
        <v>1</v>
      </c>
      <c r="DB131">
        <f t="shared" si="17"/>
        <v>31.44</v>
      </c>
      <c r="DC131">
        <f t="shared" si="18"/>
        <v>9.83</v>
      </c>
    </row>
    <row r="132" spans="1:107" x14ac:dyDescent="0.2">
      <c r="A132">
        <f>ROW(Source!A300)</f>
        <v>300</v>
      </c>
      <c r="B132">
        <v>42184655</v>
      </c>
      <c r="C132">
        <v>42187020</v>
      </c>
      <c r="D132">
        <v>40680075</v>
      </c>
      <c r="E132">
        <v>1</v>
      </c>
      <c r="F132">
        <v>1</v>
      </c>
      <c r="G132">
        <v>27</v>
      </c>
      <c r="H132">
        <v>2</v>
      </c>
      <c r="I132" t="s">
        <v>282</v>
      </c>
      <c r="J132" t="s">
        <v>283</v>
      </c>
      <c r="K132" t="s">
        <v>284</v>
      </c>
      <c r="L132">
        <v>1368</v>
      </c>
      <c r="N132">
        <v>1011</v>
      </c>
      <c r="O132" t="s">
        <v>278</v>
      </c>
      <c r="P132" t="s">
        <v>278</v>
      </c>
      <c r="Q132">
        <v>1</v>
      </c>
      <c r="W132">
        <v>0</v>
      </c>
      <c r="X132">
        <v>-1786200580</v>
      </c>
      <c r="Y132">
        <v>0.54</v>
      </c>
      <c r="AA132">
        <v>0</v>
      </c>
      <c r="AB132">
        <v>1014.12</v>
      </c>
      <c r="AC132">
        <v>317.13</v>
      </c>
      <c r="AD132">
        <v>0</v>
      </c>
      <c r="AE132">
        <v>0</v>
      </c>
      <c r="AF132">
        <v>1014.12</v>
      </c>
      <c r="AG132">
        <v>317.13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0.01</v>
      </c>
      <c r="AU132" t="s">
        <v>45</v>
      </c>
      <c r="AV132">
        <v>0</v>
      </c>
      <c r="AW132">
        <v>2</v>
      </c>
      <c r="AX132">
        <v>42187022</v>
      </c>
      <c r="AY132">
        <v>1</v>
      </c>
      <c r="AZ132">
        <v>0</v>
      </c>
      <c r="BA132">
        <v>129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Y132*Source!I300</f>
        <v>13.932000000000002</v>
      </c>
      <c r="CY132">
        <f>AB132</f>
        <v>1014.12</v>
      </c>
      <c r="CZ132">
        <f>AF132</f>
        <v>1014.12</v>
      </c>
      <c r="DA132">
        <f>AJ132</f>
        <v>1</v>
      </c>
      <c r="DB132">
        <f>ROUND((ROUND(AT132*CZ132,2)*54),6)</f>
        <v>547.55999999999995</v>
      </c>
      <c r="DC132">
        <f>ROUND((ROUND(AT132*AG132,2)*54),6)</f>
        <v>171.18</v>
      </c>
    </row>
    <row r="133" spans="1:107" x14ac:dyDescent="0.2">
      <c r="A133">
        <f>ROW(Source!A302)</f>
        <v>302</v>
      </c>
      <c r="B133">
        <v>42184655</v>
      </c>
      <c r="C133">
        <v>42187023</v>
      </c>
      <c r="D133">
        <v>40662784</v>
      </c>
      <c r="E133">
        <v>27</v>
      </c>
      <c r="F133">
        <v>1</v>
      </c>
      <c r="G133">
        <v>27</v>
      </c>
      <c r="H133">
        <v>1</v>
      </c>
      <c r="I133" t="s">
        <v>272</v>
      </c>
      <c r="J133" t="s">
        <v>3</v>
      </c>
      <c r="K133" t="s">
        <v>273</v>
      </c>
      <c r="L133">
        <v>1191</v>
      </c>
      <c r="N133">
        <v>1013</v>
      </c>
      <c r="O133" t="s">
        <v>274</v>
      </c>
      <c r="P133" t="s">
        <v>274</v>
      </c>
      <c r="Q133">
        <v>1</v>
      </c>
      <c r="W133">
        <v>0</v>
      </c>
      <c r="X133">
        <v>476480486</v>
      </c>
      <c r="Y133">
        <v>16.559999999999999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16.559999999999999</v>
      </c>
      <c r="AU133" t="s">
        <v>3</v>
      </c>
      <c r="AV133">
        <v>1</v>
      </c>
      <c r="AW133">
        <v>2</v>
      </c>
      <c r="AX133">
        <v>42187032</v>
      </c>
      <c r="AY133">
        <v>1</v>
      </c>
      <c r="AZ133">
        <v>0</v>
      </c>
      <c r="BA133">
        <v>130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Y133*Source!I302</f>
        <v>1.9871999999999999</v>
      </c>
      <c r="CY133">
        <f>AD133</f>
        <v>0</v>
      </c>
      <c r="CZ133">
        <f>AH133</f>
        <v>0</v>
      </c>
      <c r="DA133">
        <f>AL133</f>
        <v>1</v>
      </c>
      <c r="DB133">
        <f t="shared" ref="DB133:DB163" si="22">ROUND(ROUND(AT133*CZ133,2),6)</f>
        <v>0</v>
      </c>
      <c r="DC133">
        <f t="shared" ref="DC133:DC163" si="23">ROUND(ROUND(AT133*AG133,2),6)</f>
        <v>0</v>
      </c>
    </row>
    <row r="134" spans="1:107" x14ac:dyDescent="0.2">
      <c r="A134">
        <f>ROW(Source!A302)</f>
        <v>302</v>
      </c>
      <c r="B134">
        <v>42184655</v>
      </c>
      <c r="C134">
        <v>42187023</v>
      </c>
      <c r="D134">
        <v>40679320</v>
      </c>
      <c r="E134">
        <v>1</v>
      </c>
      <c r="F134">
        <v>1</v>
      </c>
      <c r="G134">
        <v>27</v>
      </c>
      <c r="H134">
        <v>2</v>
      </c>
      <c r="I134" t="s">
        <v>285</v>
      </c>
      <c r="J134" t="s">
        <v>286</v>
      </c>
      <c r="K134" t="s">
        <v>287</v>
      </c>
      <c r="L134">
        <v>1368</v>
      </c>
      <c r="N134">
        <v>1011</v>
      </c>
      <c r="O134" t="s">
        <v>278</v>
      </c>
      <c r="P134" t="s">
        <v>278</v>
      </c>
      <c r="Q134">
        <v>1</v>
      </c>
      <c r="W134">
        <v>0</v>
      </c>
      <c r="X134">
        <v>-714750861</v>
      </c>
      <c r="Y134">
        <v>2.08</v>
      </c>
      <c r="AA134">
        <v>0</v>
      </c>
      <c r="AB134">
        <v>740.94</v>
      </c>
      <c r="AC134">
        <v>413.22</v>
      </c>
      <c r="AD134">
        <v>0</v>
      </c>
      <c r="AE134">
        <v>0</v>
      </c>
      <c r="AF134">
        <v>740.94</v>
      </c>
      <c r="AG134">
        <v>413.22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2.08</v>
      </c>
      <c r="AU134" t="s">
        <v>3</v>
      </c>
      <c r="AV134">
        <v>0</v>
      </c>
      <c r="AW134">
        <v>2</v>
      </c>
      <c r="AX134">
        <v>42187033</v>
      </c>
      <c r="AY134">
        <v>1</v>
      </c>
      <c r="AZ134">
        <v>0</v>
      </c>
      <c r="BA134">
        <v>131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Y134*Source!I302</f>
        <v>0.24959999999999999</v>
      </c>
      <c r="CY134">
        <f>AB134</f>
        <v>740.94</v>
      </c>
      <c r="CZ134">
        <f>AF134</f>
        <v>740.94</v>
      </c>
      <c r="DA134">
        <f>AJ134</f>
        <v>1</v>
      </c>
      <c r="DB134">
        <f t="shared" si="22"/>
        <v>1541.16</v>
      </c>
      <c r="DC134">
        <f t="shared" si="23"/>
        <v>859.5</v>
      </c>
    </row>
    <row r="135" spans="1:107" x14ac:dyDescent="0.2">
      <c r="A135">
        <f>ROW(Source!A302)</f>
        <v>302</v>
      </c>
      <c r="B135">
        <v>42184655</v>
      </c>
      <c r="C135">
        <v>42187023</v>
      </c>
      <c r="D135">
        <v>40679475</v>
      </c>
      <c r="E135">
        <v>1</v>
      </c>
      <c r="F135">
        <v>1</v>
      </c>
      <c r="G135">
        <v>27</v>
      </c>
      <c r="H135">
        <v>2</v>
      </c>
      <c r="I135" t="s">
        <v>288</v>
      </c>
      <c r="J135" t="s">
        <v>289</v>
      </c>
      <c r="K135" t="s">
        <v>290</v>
      </c>
      <c r="L135">
        <v>1368</v>
      </c>
      <c r="N135">
        <v>1011</v>
      </c>
      <c r="O135" t="s">
        <v>278</v>
      </c>
      <c r="P135" t="s">
        <v>278</v>
      </c>
      <c r="Q135">
        <v>1</v>
      </c>
      <c r="W135">
        <v>0</v>
      </c>
      <c r="X135">
        <v>1985690002</v>
      </c>
      <c r="Y135">
        <v>2.08</v>
      </c>
      <c r="AA135">
        <v>0</v>
      </c>
      <c r="AB135">
        <v>430.32</v>
      </c>
      <c r="AC135">
        <v>215.31</v>
      </c>
      <c r="AD135">
        <v>0</v>
      </c>
      <c r="AE135">
        <v>0</v>
      </c>
      <c r="AF135">
        <v>430.32</v>
      </c>
      <c r="AG135">
        <v>215.31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2.08</v>
      </c>
      <c r="AU135" t="s">
        <v>3</v>
      </c>
      <c r="AV135">
        <v>0</v>
      </c>
      <c r="AW135">
        <v>2</v>
      </c>
      <c r="AX135">
        <v>42187034</v>
      </c>
      <c r="AY135">
        <v>1</v>
      </c>
      <c r="AZ135">
        <v>0</v>
      </c>
      <c r="BA135">
        <v>132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Y135*Source!I302</f>
        <v>0.24959999999999999</v>
      </c>
      <c r="CY135">
        <f>AB135</f>
        <v>430.32</v>
      </c>
      <c r="CZ135">
        <f>AF135</f>
        <v>430.32</v>
      </c>
      <c r="DA135">
        <f>AJ135</f>
        <v>1</v>
      </c>
      <c r="DB135">
        <f t="shared" si="22"/>
        <v>895.07</v>
      </c>
      <c r="DC135">
        <f t="shared" si="23"/>
        <v>447.84</v>
      </c>
    </row>
    <row r="136" spans="1:107" x14ac:dyDescent="0.2">
      <c r="A136">
        <f>ROW(Source!A302)</f>
        <v>302</v>
      </c>
      <c r="B136">
        <v>42184655</v>
      </c>
      <c r="C136">
        <v>42187023</v>
      </c>
      <c r="D136">
        <v>40679478</v>
      </c>
      <c r="E136">
        <v>1</v>
      </c>
      <c r="F136">
        <v>1</v>
      </c>
      <c r="G136">
        <v>27</v>
      </c>
      <c r="H136">
        <v>2</v>
      </c>
      <c r="I136" t="s">
        <v>291</v>
      </c>
      <c r="J136" t="s">
        <v>292</v>
      </c>
      <c r="K136" t="s">
        <v>293</v>
      </c>
      <c r="L136">
        <v>1368</v>
      </c>
      <c r="N136">
        <v>1011</v>
      </c>
      <c r="O136" t="s">
        <v>278</v>
      </c>
      <c r="P136" t="s">
        <v>278</v>
      </c>
      <c r="Q136">
        <v>1</v>
      </c>
      <c r="W136">
        <v>0</v>
      </c>
      <c r="X136">
        <v>351519474</v>
      </c>
      <c r="Y136">
        <v>0.81</v>
      </c>
      <c r="AA136">
        <v>0</v>
      </c>
      <c r="AB136">
        <v>2020.59</v>
      </c>
      <c r="AC136">
        <v>458.56</v>
      </c>
      <c r="AD136">
        <v>0</v>
      </c>
      <c r="AE136">
        <v>0</v>
      </c>
      <c r="AF136">
        <v>2020.59</v>
      </c>
      <c r="AG136">
        <v>458.56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0.81</v>
      </c>
      <c r="AU136" t="s">
        <v>3</v>
      </c>
      <c r="AV136">
        <v>0</v>
      </c>
      <c r="AW136">
        <v>2</v>
      </c>
      <c r="AX136">
        <v>42187035</v>
      </c>
      <c r="AY136">
        <v>1</v>
      </c>
      <c r="AZ136">
        <v>0</v>
      </c>
      <c r="BA136">
        <v>133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Y136*Source!I302</f>
        <v>9.7200000000000009E-2</v>
      </c>
      <c r="CY136">
        <f>AB136</f>
        <v>2020.59</v>
      </c>
      <c r="CZ136">
        <f>AF136</f>
        <v>2020.59</v>
      </c>
      <c r="DA136">
        <f>AJ136</f>
        <v>1</v>
      </c>
      <c r="DB136">
        <f t="shared" si="22"/>
        <v>1636.68</v>
      </c>
      <c r="DC136">
        <f t="shared" si="23"/>
        <v>371.43</v>
      </c>
    </row>
    <row r="137" spans="1:107" x14ac:dyDescent="0.2">
      <c r="A137">
        <f>ROW(Source!A302)</f>
        <v>302</v>
      </c>
      <c r="B137">
        <v>42184655</v>
      </c>
      <c r="C137">
        <v>42187023</v>
      </c>
      <c r="D137">
        <v>40679502</v>
      </c>
      <c r="E137">
        <v>1</v>
      </c>
      <c r="F137">
        <v>1</v>
      </c>
      <c r="G137">
        <v>27</v>
      </c>
      <c r="H137">
        <v>2</v>
      </c>
      <c r="I137" t="s">
        <v>294</v>
      </c>
      <c r="J137" t="s">
        <v>295</v>
      </c>
      <c r="K137" t="s">
        <v>296</v>
      </c>
      <c r="L137">
        <v>1368</v>
      </c>
      <c r="N137">
        <v>1011</v>
      </c>
      <c r="O137" t="s">
        <v>278</v>
      </c>
      <c r="P137" t="s">
        <v>278</v>
      </c>
      <c r="Q137">
        <v>1</v>
      </c>
      <c r="W137">
        <v>0</v>
      </c>
      <c r="X137">
        <v>41279402</v>
      </c>
      <c r="Y137">
        <v>1.94</v>
      </c>
      <c r="AA137">
        <v>0</v>
      </c>
      <c r="AB137">
        <v>1412.71</v>
      </c>
      <c r="AC137">
        <v>641.32000000000005</v>
      </c>
      <c r="AD137">
        <v>0</v>
      </c>
      <c r="AE137">
        <v>0</v>
      </c>
      <c r="AF137">
        <v>1412.71</v>
      </c>
      <c r="AG137">
        <v>641.32000000000005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1.94</v>
      </c>
      <c r="AU137" t="s">
        <v>3</v>
      </c>
      <c r="AV137">
        <v>0</v>
      </c>
      <c r="AW137">
        <v>2</v>
      </c>
      <c r="AX137">
        <v>42187036</v>
      </c>
      <c r="AY137">
        <v>1</v>
      </c>
      <c r="AZ137">
        <v>0</v>
      </c>
      <c r="BA137">
        <v>134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Y137*Source!I302</f>
        <v>0.23279999999999998</v>
      </c>
      <c r="CY137">
        <f>AB137</f>
        <v>1412.71</v>
      </c>
      <c r="CZ137">
        <f>AF137</f>
        <v>1412.71</v>
      </c>
      <c r="DA137">
        <f>AJ137</f>
        <v>1</v>
      </c>
      <c r="DB137">
        <f t="shared" si="22"/>
        <v>2740.66</v>
      </c>
      <c r="DC137">
        <f t="shared" si="23"/>
        <v>1244.1600000000001</v>
      </c>
    </row>
    <row r="138" spans="1:107" x14ac:dyDescent="0.2">
      <c r="A138">
        <f>ROW(Source!A302)</f>
        <v>302</v>
      </c>
      <c r="B138">
        <v>42184655</v>
      </c>
      <c r="C138">
        <v>42187023</v>
      </c>
      <c r="D138">
        <v>40679468</v>
      </c>
      <c r="E138">
        <v>1</v>
      </c>
      <c r="F138">
        <v>1</v>
      </c>
      <c r="G138">
        <v>27</v>
      </c>
      <c r="H138">
        <v>2</v>
      </c>
      <c r="I138" t="s">
        <v>297</v>
      </c>
      <c r="J138" t="s">
        <v>298</v>
      </c>
      <c r="K138" t="s">
        <v>299</v>
      </c>
      <c r="L138">
        <v>1368</v>
      </c>
      <c r="N138">
        <v>1011</v>
      </c>
      <c r="O138" t="s">
        <v>278</v>
      </c>
      <c r="P138" t="s">
        <v>278</v>
      </c>
      <c r="Q138">
        <v>1</v>
      </c>
      <c r="W138">
        <v>0</v>
      </c>
      <c r="X138">
        <v>-1991511797</v>
      </c>
      <c r="Y138">
        <v>0.65</v>
      </c>
      <c r="AA138">
        <v>0</v>
      </c>
      <c r="AB138">
        <v>1213.3399999999999</v>
      </c>
      <c r="AC138">
        <v>461.6</v>
      </c>
      <c r="AD138">
        <v>0</v>
      </c>
      <c r="AE138">
        <v>0</v>
      </c>
      <c r="AF138">
        <v>1213.3399999999999</v>
      </c>
      <c r="AG138">
        <v>461.6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0.65</v>
      </c>
      <c r="AU138" t="s">
        <v>3</v>
      </c>
      <c r="AV138">
        <v>0</v>
      </c>
      <c r="AW138">
        <v>2</v>
      </c>
      <c r="AX138">
        <v>42187037</v>
      </c>
      <c r="AY138">
        <v>1</v>
      </c>
      <c r="AZ138">
        <v>0</v>
      </c>
      <c r="BA138">
        <v>135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Y138*Source!I302</f>
        <v>7.8E-2</v>
      </c>
      <c r="CY138">
        <f>AB138</f>
        <v>1213.3399999999999</v>
      </c>
      <c r="CZ138">
        <f>AF138</f>
        <v>1213.3399999999999</v>
      </c>
      <c r="DA138">
        <f>AJ138</f>
        <v>1</v>
      </c>
      <c r="DB138">
        <f t="shared" si="22"/>
        <v>788.67</v>
      </c>
      <c r="DC138">
        <f t="shared" si="23"/>
        <v>300.04000000000002</v>
      </c>
    </row>
    <row r="139" spans="1:107" x14ac:dyDescent="0.2">
      <c r="A139">
        <f>ROW(Source!A302)</f>
        <v>302</v>
      </c>
      <c r="B139">
        <v>42184655</v>
      </c>
      <c r="C139">
        <v>42187023</v>
      </c>
      <c r="D139">
        <v>40681431</v>
      </c>
      <c r="E139">
        <v>1</v>
      </c>
      <c r="F139">
        <v>1</v>
      </c>
      <c r="G139">
        <v>27</v>
      </c>
      <c r="H139">
        <v>3</v>
      </c>
      <c r="I139" t="s">
        <v>300</v>
      </c>
      <c r="J139" t="s">
        <v>301</v>
      </c>
      <c r="K139" t="s">
        <v>302</v>
      </c>
      <c r="L139">
        <v>1339</v>
      </c>
      <c r="N139">
        <v>1007</v>
      </c>
      <c r="O139" t="s">
        <v>38</v>
      </c>
      <c r="P139" t="s">
        <v>38</v>
      </c>
      <c r="Q139">
        <v>1</v>
      </c>
      <c r="W139">
        <v>0</v>
      </c>
      <c r="X139">
        <v>-840107338</v>
      </c>
      <c r="Y139">
        <v>110</v>
      </c>
      <c r="AA139">
        <v>590.78</v>
      </c>
      <c r="AB139">
        <v>0</v>
      </c>
      <c r="AC139">
        <v>0</v>
      </c>
      <c r="AD139">
        <v>0</v>
      </c>
      <c r="AE139">
        <v>590.78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110</v>
      </c>
      <c r="AU139" t="s">
        <v>3</v>
      </c>
      <c r="AV139">
        <v>0</v>
      </c>
      <c r="AW139">
        <v>2</v>
      </c>
      <c r="AX139">
        <v>42187038</v>
      </c>
      <c r="AY139">
        <v>1</v>
      </c>
      <c r="AZ139">
        <v>0</v>
      </c>
      <c r="BA139">
        <v>136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Y139*Source!I302</f>
        <v>13.2</v>
      </c>
      <c r="CY139">
        <f>AA139</f>
        <v>590.78</v>
      </c>
      <c r="CZ139">
        <f>AE139</f>
        <v>590.78</v>
      </c>
      <c r="DA139">
        <f>AI139</f>
        <v>1</v>
      </c>
      <c r="DB139">
        <f t="shared" si="22"/>
        <v>64985.8</v>
      </c>
      <c r="DC139">
        <f t="shared" si="23"/>
        <v>0</v>
      </c>
    </row>
    <row r="140" spans="1:107" x14ac:dyDescent="0.2">
      <c r="A140">
        <f>ROW(Source!A302)</f>
        <v>302</v>
      </c>
      <c r="B140">
        <v>42184655</v>
      </c>
      <c r="C140">
        <v>42187023</v>
      </c>
      <c r="D140">
        <v>40682177</v>
      </c>
      <c r="E140">
        <v>1</v>
      </c>
      <c r="F140">
        <v>1</v>
      </c>
      <c r="G140">
        <v>27</v>
      </c>
      <c r="H140">
        <v>3</v>
      </c>
      <c r="I140" t="s">
        <v>303</v>
      </c>
      <c r="J140" t="s">
        <v>304</v>
      </c>
      <c r="K140" t="s">
        <v>305</v>
      </c>
      <c r="L140">
        <v>1339</v>
      </c>
      <c r="N140">
        <v>1007</v>
      </c>
      <c r="O140" t="s">
        <v>38</v>
      </c>
      <c r="P140" t="s">
        <v>38</v>
      </c>
      <c r="Q140">
        <v>1</v>
      </c>
      <c r="W140">
        <v>0</v>
      </c>
      <c r="X140">
        <v>2028445372</v>
      </c>
      <c r="Y140">
        <v>5</v>
      </c>
      <c r="AA140">
        <v>35.25</v>
      </c>
      <c r="AB140">
        <v>0</v>
      </c>
      <c r="AC140">
        <v>0</v>
      </c>
      <c r="AD140">
        <v>0</v>
      </c>
      <c r="AE140">
        <v>35.25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5</v>
      </c>
      <c r="AU140" t="s">
        <v>3</v>
      </c>
      <c r="AV140">
        <v>0</v>
      </c>
      <c r="AW140">
        <v>2</v>
      </c>
      <c r="AX140">
        <v>42187039</v>
      </c>
      <c r="AY140">
        <v>1</v>
      </c>
      <c r="AZ140">
        <v>0</v>
      </c>
      <c r="BA140">
        <v>137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Y140*Source!I302</f>
        <v>0.6</v>
      </c>
      <c r="CY140">
        <f>AA140</f>
        <v>35.25</v>
      </c>
      <c r="CZ140">
        <f>AE140</f>
        <v>35.25</v>
      </c>
      <c r="DA140">
        <f>AI140</f>
        <v>1</v>
      </c>
      <c r="DB140">
        <f t="shared" si="22"/>
        <v>176.25</v>
      </c>
      <c r="DC140">
        <f t="shared" si="23"/>
        <v>0</v>
      </c>
    </row>
    <row r="141" spans="1:107" x14ac:dyDescent="0.2">
      <c r="A141">
        <f>ROW(Source!A303)</f>
        <v>303</v>
      </c>
      <c r="B141">
        <v>42184655</v>
      </c>
      <c r="C141">
        <v>42187040</v>
      </c>
      <c r="D141">
        <v>40662784</v>
      </c>
      <c r="E141">
        <v>27</v>
      </c>
      <c r="F141">
        <v>1</v>
      </c>
      <c r="G141">
        <v>27</v>
      </c>
      <c r="H141">
        <v>1</v>
      </c>
      <c r="I141" t="s">
        <v>272</v>
      </c>
      <c r="J141" t="s">
        <v>3</v>
      </c>
      <c r="K141" t="s">
        <v>273</v>
      </c>
      <c r="L141">
        <v>1191</v>
      </c>
      <c r="N141">
        <v>1013</v>
      </c>
      <c r="O141" t="s">
        <v>274</v>
      </c>
      <c r="P141" t="s">
        <v>274</v>
      </c>
      <c r="Q141">
        <v>1</v>
      </c>
      <c r="W141">
        <v>0</v>
      </c>
      <c r="X141">
        <v>476480486</v>
      </c>
      <c r="Y141">
        <v>24.84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24.84</v>
      </c>
      <c r="AU141" t="s">
        <v>3</v>
      </c>
      <c r="AV141">
        <v>1</v>
      </c>
      <c r="AW141">
        <v>2</v>
      </c>
      <c r="AX141">
        <v>42187050</v>
      </c>
      <c r="AY141">
        <v>1</v>
      </c>
      <c r="AZ141">
        <v>0</v>
      </c>
      <c r="BA141">
        <v>138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Y141*Source!I303</f>
        <v>1.7884799999999998</v>
      </c>
      <c r="CY141">
        <f>AD141</f>
        <v>0</v>
      </c>
      <c r="CZ141">
        <f>AH141</f>
        <v>0</v>
      </c>
      <c r="DA141">
        <f>AL141</f>
        <v>1</v>
      </c>
      <c r="DB141">
        <f t="shared" si="22"/>
        <v>0</v>
      </c>
      <c r="DC141">
        <f t="shared" si="23"/>
        <v>0</v>
      </c>
    </row>
    <row r="142" spans="1:107" x14ac:dyDescent="0.2">
      <c r="A142">
        <f>ROW(Source!A303)</f>
        <v>303</v>
      </c>
      <c r="B142">
        <v>42184655</v>
      </c>
      <c r="C142">
        <v>42187040</v>
      </c>
      <c r="D142">
        <v>40679297</v>
      </c>
      <c r="E142">
        <v>1</v>
      </c>
      <c r="F142">
        <v>1</v>
      </c>
      <c r="G142">
        <v>27</v>
      </c>
      <c r="H142">
        <v>2</v>
      </c>
      <c r="I142" t="s">
        <v>306</v>
      </c>
      <c r="J142" t="s">
        <v>307</v>
      </c>
      <c r="K142" t="s">
        <v>308</v>
      </c>
      <c r="L142">
        <v>1368</v>
      </c>
      <c r="N142">
        <v>1011</v>
      </c>
      <c r="O142" t="s">
        <v>278</v>
      </c>
      <c r="P142" t="s">
        <v>278</v>
      </c>
      <c r="Q142">
        <v>1</v>
      </c>
      <c r="W142">
        <v>0</v>
      </c>
      <c r="X142">
        <v>974897901</v>
      </c>
      <c r="Y142">
        <v>2.94</v>
      </c>
      <c r="AA142">
        <v>0</v>
      </c>
      <c r="AB142">
        <v>956.79</v>
      </c>
      <c r="AC142">
        <v>359.44</v>
      </c>
      <c r="AD142">
        <v>0</v>
      </c>
      <c r="AE142">
        <v>0</v>
      </c>
      <c r="AF142">
        <v>956.79</v>
      </c>
      <c r="AG142">
        <v>359.44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2.94</v>
      </c>
      <c r="AU142" t="s">
        <v>3</v>
      </c>
      <c r="AV142">
        <v>0</v>
      </c>
      <c r="AW142">
        <v>2</v>
      </c>
      <c r="AX142">
        <v>42187051</v>
      </c>
      <c r="AY142">
        <v>1</v>
      </c>
      <c r="AZ142">
        <v>0</v>
      </c>
      <c r="BA142">
        <v>139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Y142*Source!I303</f>
        <v>0.21167999999999998</v>
      </c>
      <c r="CY142">
        <f t="shared" ref="CY142:CY147" si="24">AB142</f>
        <v>956.79</v>
      </c>
      <c r="CZ142">
        <f t="shared" ref="CZ142:CZ147" si="25">AF142</f>
        <v>956.79</v>
      </c>
      <c r="DA142">
        <f t="shared" ref="DA142:DA147" si="26">AJ142</f>
        <v>1</v>
      </c>
      <c r="DB142">
        <f t="shared" si="22"/>
        <v>2812.96</v>
      </c>
      <c r="DC142">
        <f t="shared" si="23"/>
        <v>1056.75</v>
      </c>
    </row>
    <row r="143" spans="1:107" x14ac:dyDescent="0.2">
      <c r="A143">
        <f>ROW(Source!A303)</f>
        <v>303</v>
      </c>
      <c r="B143">
        <v>42184655</v>
      </c>
      <c r="C143">
        <v>42187040</v>
      </c>
      <c r="D143">
        <v>40679478</v>
      </c>
      <c r="E143">
        <v>1</v>
      </c>
      <c r="F143">
        <v>1</v>
      </c>
      <c r="G143">
        <v>27</v>
      </c>
      <c r="H143">
        <v>2</v>
      </c>
      <c r="I143" t="s">
        <v>291</v>
      </c>
      <c r="J143" t="s">
        <v>292</v>
      </c>
      <c r="K143" t="s">
        <v>293</v>
      </c>
      <c r="L143">
        <v>1368</v>
      </c>
      <c r="N143">
        <v>1011</v>
      </c>
      <c r="O143" t="s">
        <v>278</v>
      </c>
      <c r="P143" t="s">
        <v>278</v>
      </c>
      <c r="Q143">
        <v>1</v>
      </c>
      <c r="W143">
        <v>0</v>
      </c>
      <c r="X143">
        <v>351519474</v>
      </c>
      <c r="Y143">
        <v>1.1399999999999999</v>
      </c>
      <c r="AA143">
        <v>0</v>
      </c>
      <c r="AB143">
        <v>2020.59</v>
      </c>
      <c r="AC143">
        <v>458.56</v>
      </c>
      <c r="AD143">
        <v>0</v>
      </c>
      <c r="AE143">
        <v>0</v>
      </c>
      <c r="AF143">
        <v>2020.59</v>
      </c>
      <c r="AG143">
        <v>458.56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1.1399999999999999</v>
      </c>
      <c r="AU143" t="s">
        <v>3</v>
      </c>
      <c r="AV143">
        <v>0</v>
      </c>
      <c r="AW143">
        <v>2</v>
      </c>
      <c r="AX143">
        <v>42187052</v>
      </c>
      <c r="AY143">
        <v>1</v>
      </c>
      <c r="AZ143">
        <v>0</v>
      </c>
      <c r="BA143">
        <v>140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Y143*Source!I303</f>
        <v>8.2079999999999986E-2</v>
      </c>
      <c r="CY143">
        <f t="shared" si="24"/>
        <v>2020.59</v>
      </c>
      <c r="CZ143">
        <f t="shared" si="25"/>
        <v>2020.59</v>
      </c>
      <c r="DA143">
        <f t="shared" si="26"/>
        <v>1</v>
      </c>
      <c r="DB143">
        <f t="shared" si="22"/>
        <v>2303.4699999999998</v>
      </c>
      <c r="DC143">
        <f t="shared" si="23"/>
        <v>522.76</v>
      </c>
    </row>
    <row r="144" spans="1:107" x14ac:dyDescent="0.2">
      <c r="A144">
        <f>ROW(Source!A303)</f>
        <v>303</v>
      </c>
      <c r="B144">
        <v>42184655</v>
      </c>
      <c r="C144">
        <v>42187040</v>
      </c>
      <c r="D144">
        <v>40679463</v>
      </c>
      <c r="E144">
        <v>1</v>
      </c>
      <c r="F144">
        <v>1</v>
      </c>
      <c r="G144">
        <v>27</v>
      </c>
      <c r="H144">
        <v>2</v>
      </c>
      <c r="I144" t="s">
        <v>309</v>
      </c>
      <c r="J144" t="s">
        <v>310</v>
      </c>
      <c r="K144" t="s">
        <v>311</v>
      </c>
      <c r="L144">
        <v>1368</v>
      </c>
      <c r="N144">
        <v>1011</v>
      </c>
      <c r="O144" t="s">
        <v>278</v>
      </c>
      <c r="P144" t="s">
        <v>278</v>
      </c>
      <c r="Q144">
        <v>1</v>
      </c>
      <c r="W144">
        <v>0</v>
      </c>
      <c r="X144">
        <v>-1930120489</v>
      </c>
      <c r="Y144">
        <v>8.9600000000000009</v>
      </c>
      <c r="AA144">
        <v>0</v>
      </c>
      <c r="AB144">
        <v>1261.8699999999999</v>
      </c>
      <c r="AC144">
        <v>530.02</v>
      </c>
      <c r="AD144">
        <v>0</v>
      </c>
      <c r="AE144">
        <v>0</v>
      </c>
      <c r="AF144">
        <v>1261.8699999999999</v>
      </c>
      <c r="AG144">
        <v>530.02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8.9600000000000009</v>
      </c>
      <c r="AU144" t="s">
        <v>3</v>
      </c>
      <c r="AV144">
        <v>0</v>
      </c>
      <c r="AW144">
        <v>2</v>
      </c>
      <c r="AX144">
        <v>42187053</v>
      </c>
      <c r="AY144">
        <v>1</v>
      </c>
      <c r="AZ144">
        <v>0</v>
      </c>
      <c r="BA144">
        <v>141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Y144*Source!I303</f>
        <v>0.64512000000000003</v>
      </c>
      <c r="CY144">
        <f t="shared" si="24"/>
        <v>1261.8699999999999</v>
      </c>
      <c r="CZ144">
        <f t="shared" si="25"/>
        <v>1261.8699999999999</v>
      </c>
      <c r="DA144">
        <f t="shared" si="26"/>
        <v>1</v>
      </c>
      <c r="DB144">
        <f t="shared" si="22"/>
        <v>11306.36</v>
      </c>
      <c r="DC144">
        <f t="shared" si="23"/>
        <v>4748.9799999999996</v>
      </c>
    </row>
    <row r="145" spans="1:107" x14ac:dyDescent="0.2">
      <c r="A145">
        <f>ROW(Source!A303)</f>
        <v>303</v>
      </c>
      <c r="B145">
        <v>42184655</v>
      </c>
      <c r="C145">
        <v>42187040</v>
      </c>
      <c r="D145">
        <v>40679464</v>
      </c>
      <c r="E145">
        <v>1</v>
      </c>
      <c r="F145">
        <v>1</v>
      </c>
      <c r="G145">
        <v>27</v>
      </c>
      <c r="H145">
        <v>2</v>
      </c>
      <c r="I145" t="s">
        <v>312</v>
      </c>
      <c r="J145" t="s">
        <v>313</v>
      </c>
      <c r="K145" t="s">
        <v>314</v>
      </c>
      <c r="L145">
        <v>1368</v>
      </c>
      <c r="N145">
        <v>1011</v>
      </c>
      <c r="O145" t="s">
        <v>278</v>
      </c>
      <c r="P145" t="s">
        <v>278</v>
      </c>
      <c r="Q145">
        <v>1</v>
      </c>
      <c r="W145">
        <v>0</v>
      </c>
      <c r="X145">
        <v>1869206802</v>
      </c>
      <c r="Y145">
        <v>18.25</v>
      </c>
      <c r="AA145">
        <v>0</v>
      </c>
      <c r="AB145">
        <v>1827.95</v>
      </c>
      <c r="AC145">
        <v>720.55</v>
      </c>
      <c r="AD145">
        <v>0</v>
      </c>
      <c r="AE145">
        <v>0</v>
      </c>
      <c r="AF145">
        <v>1827.95</v>
      </c>
      <c r="AG145">
        <v>720.55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18.25</v>
      </c>
      <c r="AU145" t="s">
        <v>3</v>
      </c>
      <c r="AV145">
        <v>0</v>
      </c>
      <c r="AW145">
        <v>2</v>
      </c>
      <c r="AX145">
        <v>42187054</v>
      </c>
      <c r="AY145">
        <v>1</v>
      </c>
      <c r="AZ145">
        <v>0</v>
      </c>
      <c r="BA145">
        <v>142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Y145*Source!I303</f>
        <v>1.3139999999999998</v>
      </c>
      <c r="CY145">
        <f t="shared" si="24"/>
        <v>1827.95</v>
      </c>
      <c r="CZ145">
        <f t="shared" si="25"/>
        <v>1827.95</v>
      </c>
      <c r="DA145">
        <f t="shared" si="26"/>
        <v>1</v>
      </c>
      <c r="DB145">
        <f t="shared" si="22"/>
        <v>33360.089999999997</v>
      </c>
      <c r="DC145">
        <f t="shared" si="23"/>
        <v>13150.04</v>
      </c>
    </row>
    <row r="146" spans="1:107" x14ac:dyDescent="0.2">
      <c r="A146">
        <f>ROW(Source!A303)</f>
        <v>303</v>
      </c>
      <c r="B146">
        <v>42184655</v>
      </c>
      <c r="C146">
        <v>42187040</v>
      </c>
      <c r="D146">
        <v>40679502</v>
      </c>
      <c r="E146">
        <v>1</v>
      </c>
      <c r="F146">
        <v>1</v>
      </c>
      <c r="G146">
        <v>27</v>
      </c>
      <c r="H146">
        <v>2</v>
      </c>
      <c r="I146" t="s">
        <v>294</v>
      </c>
      <c r="J146" t="s">
        <v>295</v>
      </c>
      <c r="K146" t="s">
        <v>296</v>
      </c>
      <c r="L146">
        <v>1368</v>
      </c>
      <c r="N146">
        <v>1011</v>
      </c>
      <c r="O146" t="s">
        <v>278</v>
      </c>
      <c r="P146" t="s">
        <v>278</v>
      </c>
      <c r="Q146">
        <v>1</v>
      </c>
      <c r="W146">
        <v>0</v>
      </c>
      <c r="X146">
        <v>41279402</v>
      </c>
      <c r="Y146">
        <v>2.2400000000000002</v>
      </c>
      <c r="AA146">
        <v>0</v>
      </c>
      <c r="AB146">
        <v>1412.71</v>
      </c>
      <c r="AC146">
        <v>641.32000000000005</v>
      </c>
      <c r="AD146">
        <v>0</v>
      </c>
      <c r="AE146">
        <v>0</v>
      </c>
      <c r="AF146">
        <v>1412.71</v>
      </c>
      <c r="AG146">
        <v>641.32000000000005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2.2400000000000002</v>
      </c>
      <c r="AU146" t="s">
        <v>3</v>
      </c>
      <c r="AV146">
        <v>0</v>
      </c>
      <c r="AW146">
        <v>2</v>
      </c>
      <c r="AX146">
        <v>42187055</v>
      </c>
      <c r="AY146">
        <v>1</v>
      </c>
      <c r="AZ146">
        <v>0</v>
      </c>
      <c r="BA146">
        <v>143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Y146*Source!I303</f>
        <v>0.16128000000000001</v>
      </c>
      <c r="CY146">
        <f t="shared" si="24"/>
        <v>1412.71</v>
      </c>
      <c r="CZ146">
        <f t="shared" si="25"/>
        <v>1412.71</v>
      </c>
      <c r="DA146">
        <f t="shared" si="26"/>
        <v>1</v>
      </c>
      <c r="DB146">
        <f t="shared" si="22"/>
        <v>3164.47</v>
      </c>
      <c r="DC146">
        <f t="shared" si="23"/>
        <v>1436.56</v>
      </c>
    </row>
    <row r="147" spans="1:107" x14ac:dyDescent="0.2">
      <c r="A147">
        <f>ROW(Source!A303)</f>
        <v>303</v>
      </c>
      <c r="B147">
        <v>42184655</v>
      </c>
      <c r="C147">
        <v>42187040</v>
      </c>
      <c r="D147">
        <v>40679468</v>
      </c>
      <c r="E147">
        <v>1</v>
      </c>
      <c r="F147">
        <v>1</v>
      </c>
      <c r="G147">
        <v>27</v>
      </c>
      <c r="H147">
        <v>2</v>
      </c>
      <c r="I147" t="s">
        <v>297</v>
      </c>
      <c r="J147" t="s">
        <v>298</v>
      </c>
      <c r="K147" t="s">
        <v>299</v>
      </c>
      <c r="L147">
        <v>1368</v>
      </c>
      <c r="N147">
        <v>1011</v>
      </c>
      <c r="O147" t="s">
        <v>278</v>
      </c>
      <c r="P147" t="s">
        <v>278</v>
      </c>
      <c r="Q147">
        <v>1</v>
      </c>
      <c r="W147">
        <v>0</v>
      </c>
      <c r="X147">
        <v>-1991511797</v>
      </c>
      <c r="Y147">
        <v>0.65</v>
      </c>
      <c r="AA147">
        <v>0</v>
      </c>
      <c r="AB147">
        <v>1213.3399999999999</v>
      </c>
      <c r="AC147">
        <v>461.6</v>
      </c>
      <c r="AD147">
        <v>0</v>
      </c>
      <c r="AE147">
        <v>0</v>
      </c>
      <c r="AF147">
        <v>1213.3399999999999</v>
      </c>
      <c r="AG147">
        <v>461.6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0.65</v>
      </c>
      <c r="AU147" t="s">
        <v>3</v>
      </c>
      <c r="AV147">
        <v>0</v>
      </c>
      <c r="AW147">
        <v>2</v>
      </c>
      <c r="AX147">
        <v>42187056</v>
      </c>
      <c r="AY147">
        <v>1</v>
      </c>
      <c r="AZ147">
        <v>0</v>
      </c>
      <c r="BA147">
        <v>144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Y147*Source!I303</f>
        <v>4.6800000000000001E-2</v>
      </c>
      <c r="CY147">
        <f t="shared" si="24"/>
        <v>1213.3399999999999</v>
      </c>
      <c r="CZ147">
        <f t="shared" si="25"/>
        <v>1213.3399999999999</v>
      </c>
      <c r="DA147">
        <f t="shared" si="26"/>
        <v>1</v>
      </c>
      <c r="DB147">
        <f t="shared" si="22"/>
        <v>788.67</v>
      </c>
      <c r="DC147">
        <f t="shared" si="23"/>
        <v>300.04000000000002</v>
      </c>
    </row>
    <row r="148" spans="1:107" x14ac:dyDescent="0.2">
      <c r="A148">
        <f>ROW(Source!A303)</f>
        <v>303</v>
      </c>
      <c r="B148">
        <v>42184655</v>
      </c>
      <c r="C148">
        <v>42187040</v>
      </c>
      <c r="D148">
        <v>40681457</v>
      </c>
      <c r="E148">
        <v>1</v>
      </c>
      <c r="F148">
        <v>1</v>
      </c>
      <c r="G148">
        <v>27</v>
      </c>
      <c r="H148">
        <v>3</v>
      </c>
      <c r="I148" t="s">
        <v>315</v>
      </c>
      <c r="J148" t="s">
        <v>316</v>
      </c>
      <c r="K148" t="s">
        <v>317</v>
      </c>
      <c r="L148">
        <v>1339</v>
      </c>
      <c r="N148">
        <v>1007</v>
      </c>
      <c r="O148" t="s">
        <v>38</v>
      </c>
      <c r="P148" t="s">
        <v>38</v>
      </c>
      <c r="Q148">
        <v>1</v>
      </c>
      <c r="W148">
        <v>0</v>
      </c>
      <c r="X148">
        <v>811973350</v>
      </c>
      <c r="Y148">
        <v>126</v>
      </c>
      <c r="AA148">
        <v>1763.75</v>
      </c>
      <c r="AB148">
        <v>0</v>
      </c>
      <c r="AC148">
        <v>0</v>
      </c>
      <c r="AD148">
        <v>0</v>
      </c>
      <c r="AE148">
        <v>1763.75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126</v>
      </c>
      <c r="AU148" t="s">
        <v>3</v>
      </c>
      <c r="AV148">
        <v>0</v>
      </c>
      <c r="AW148">
        <v>2</v>
      </c>
      <c r="AX148">
        <v>42187057</v>
      </c>
      <c r="AY148">
        <v>1</v>
      </c>
      <c r="AZ148">
        <v>0</v>
      </c>
      <c r="BA148">
        <v>145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Y148*Source!I303</f>
        <v>9.0719999999999992</v>
      </c>
      <c r="CY148">
        <f>AA148</f>
        <v>1763.75</v>
      </c>
      <c r="CZ148">
        <f>AE148</f>
        <v>1763.75</v>
      </c>
      <c r="DA148">
        <f>AI148</f>
        <v>1</v>
      </c>
      <c r="DB148">
        <f t="shared" si="22"/>
        <v>222232.5</v>
      </c>
      <c r="DC148">
        <f t="shared" si="23"/>
        <v>0</v>
      </c>
    </row>
    <row r="149" spans="1:107" x14ac:dyDescent="0.2">
      <c r="A149">
        <f>ROW(Source!A303)</f>
        <v>303</v>
      </c>
      <c r="B149">
        <v>42184655</v>
      </c>
      <c r="C149">
        <v>42187040</v>
      </c>
      <c r="D149">
        <v>40682177</v>
      </c>
      <c r="E149">
        <v>1</v>
      </c>
      <c r="F149">
        <v>1</v>
      </c>
      <c r="G149">
        <v>27</v>
      </c>
      <c r="H149">
        <v>3</v>
      </c>
      <c r="I149" t="s">
        <v>303</v>
      </c>
      <c r="J149" t="s">
        <v>304</v>
      </c>
      <c r="K149" t="s">
        <v>305</v>
      </c>
      <c r="L149">
        <v>1339</v>
      </c>
      <c r="N149">
        <v>1007</v>
      </c>
      <c r="O149" t="s">
        <v>38</v>
      </c>
      <c r="P149" t="s">
        <v>38</v>
      </c>
      <c r="Q149">
        <v>1</v>
      </c>
      <c r="W149">
        <v>0</v>
      </c>
      <c r="X149">
        <v>2028445372</v>
      </c>
      <c r="Y149">
        <v>7</v>
      </c>
      <c r="AA149">
        <v>35.25</v>
      </c>
      <c r="AB149">
        <v>0</v>
      </c>
      <c r="AC149">
        <v>0</v>
      </c>
      <c r="AD149">
        <v>0</v>
      </c>
      <c r="AE149">
        <v>35.25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7</v>
      </c>
      <c r="AU149" t="s">
        <v>3</v>
      </c>
      <c r="AV149">
        <v>0</v>
      </c>
      <c r="AW149">
        <v>2</v>
      </c>
      <c r="AX149">
        <v>42187058</v>
      </c>
      <c r="AY149">
        <v>1</v>
      </c>
      <c r="AZ149">
        <v>0</v>
      </c>
      <c r="BA149">
        <v>146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Y149*Source!I303</f>
        <v>0.504</v>
      </c>
      <c r="CY149">
        <f>AA149</f>
        <v>35.25</v>
      </c>
      <c r="CZ149">
        <f>AE149</f>
        <v>35.25</v>
      </c>
      <c r="DA149">
        <f>AI149</f>
        <v>1</v>
      </c>
      <c r="DB149">
        <f t="shared" si="22"/>
        <v>246.75</v>
      </c>
      <c r="DC149">
        <f t="shared" si="23"/>
        <v>0</v>
      </c>
    </row>
    <row r="150" spans="1:107" x14ac:dyDescent="0.2">
      <c r="A150">
        <f>ROW(Source!A304)</f>
        <v>304</v>
      </c>
      <c r="B150">
        <v>42184655</v>
      </c>
      <c r="C150">
        <v>42187059</v>
      </c>
      <c r="D150">
        <v>40662784</v>
      </c>
      <c r="E150">
        <v>27</v>
      </c>
      <c r="F150">
        <v>1</v>
      </c>
      <c r="G150">
        <v>27</v>
      </c>
      <c r="H150">
        <v>1</v>
      </c>
      <c r="I150" t="s">
        <v>272</v>
      </c>
      <c r="J150" t="s">
        <v>3</v>
      </c>
      <c r="K150" t="s">
        <v>273</v>
      </c>
      <c r="L150">
        <v>1191</v>
      </c>
      <c r="N150">
        <v>1013</v>
      </c>
      <c r="O150" t="s">
        <v>274</v>
      </c>
      <c r="P150" t="s">
        <v>274</v>
      </c>
      <c r="Q150">
        <v>1</v>
      </c>
      <c r="W150">
        <v>0</v>
      </c>
      <c r="X150">
        <v>476480486</v>
      </c>
      <c r="Y150">
        <v>134.08000000000001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134.08000000000001</v>
      </c>
      <c r="AU150" t="s">
        <v>3</v>
      </c>
      <c r="AV150">
        <v>1</v>
      </c>
      <c r="AW150">
        <v>2</v>
      </c>
      <c r="AX150">
        <v>42187067</v>
      </c>
      <c r="AY150">
        <v>1</v>
      </c>
      <c r="AZ150">
        <v>0</v>
      </c>
      <c r="BA150">
        <v>147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Y150*Source!I304</f>
        <v>80.448000000000008</v>
      </c>
      <c r="CY150">
        <f>AD150</f>
        <v>0</v>
      </c>
      <c r="CZ150">
        <f>AH150</f>
        <v>0</v>
      </c>
      <c r="DA150">
        <f>AL150</f>
        <v>1</v>
      </c>
      <c r="DB150">
        <f t="shared" si="22"/>
        <v>0</v>
      </c>
      <c r="DC150">
        <f t="shared" si="23"/>
        <v>0</v>
      </c>
    </row>
    <row r="151" spans="1:107" x14ac:dyDescent="0.2">
      <c r="A151">
        <f>ROW(Source!A304)</f>
        <v>304</v>
      </c>
      <c r="B151">
        <v>42184655</v>
      </c>
      <c r="C151">
        <v>42187059</v>
      </c>
      <c r="D151">
        <v>40679908</v>
      </c>
      <c r="E151">
        <v>1</v>
      </c>
      <c r="F151">
        <v>1</v>
      </c>
      <c r="G151">
        <v>27</v>
      </c>
      <c r="H151">
        <v>2</v>
      </c>
      <c r="I151" t="s">
        <v>387</v>
      </c>
      <c r="J151" t="s">
        <v>388</v>
      </c>
      <c r="K151" t="s">
        <v>389</v>
      </c>
      <c r="L151">
        <v>1368</v>
      </c>
      <c r="N151">
        <v>1011</v>
      </c>
      <c r="O151" t="s">
        <v>278</v>
      </c>
      <c r="P151" t="s">
        <v>278</v>
      </c>
      <c r="Q151">
        <v>1</v>
      </c>
      <c r="W151">
        <v>0</v>
      </c>
      <c r="X151">
        <v>1502345835</v>
      </c>
      <c r="Y151">
        <v>4.0999999999999996</v>
      </c>
      <c r="AA151">
        <v>0</v>
      </c>
      <c r="AB151">
        <v>94.06</v>
      </c>
      <c r="AC151">
        <v>4.3499999999999996</v>
      </c>
      <c r="AD151">
        <v>0</v>
      </c>
      <c r="AE151">
        <v>0</v>
      </c>
      <c r="AF151">
        <v>94.06</v>
      </c>
      <c r="AG151">
        <v>4.3499999999999996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4.0999999999999996</v>
      </c>
      <c r="AU151" t="s">
        <v>3</v>
      </c>
      <c r="AV151">
        <v>0</v>
      </c>
      <c r="AW151">
        <v>2</v>
      </c>
      <c r="AX151">
        <v>42187068</v>
      </c>
      <c r="AY151">
        <v>1</v>
      </c>
      <c r="AZ151">
        <v>0</v>
      </c>
      <c r="BA151">
        <v>148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Y151*Source!I304</f>
        <v>2.4599999999999995</v>
      </c>
      <c r="CY151">
        <f>AB151</f>
        <v>94.06</v>
      </c>
      <c r="CZ151">
        <f>AF151</f>
        <v>94.06</v>
      </c>
      <c r="DA151">
        <f>AJ151</f>
        <v>1</v>
      </c>
      <c r="DB151">
        <f t="shared" si="22"/>
        <v>385.65</v>
      </c>
      <c r="DC151">
        <f t="shared" si="23"/>
        <v>17.84</v>
      </c>
    </row>
    <row r="152" spans="1:107" x14ac:dyDescent="0.2">
      <c r="A152">
        <f>ROW(Source!A304)</f>
        <v>304</v>
      </c>
      <c r="B152">
        <v>42184655</v>
      </c>
      <c r="C152">
        <v>42187059</v>
      </c>
      <c r="D152">
        <v>40680123</v>
      </c>
      <c r="E152">
        <v>1</v>
      </c>
      <c r="F152">
        <v>1</v>
      </c>
      <c r="G152">
        <v>27</v>
      </c>
      <c r="H152">
        <v>2</v>
      </c>
      <c r="I152" t="s">
        <v>390</v>
      </c>
      <c r="J152" t="s">
        <v>391</v>
      </c>
      <c r="K152" t="s">
        <v>392</v>
      </c>
      <c r="L152">
        <v>1368</v>
      </c>
      <c r="N152">
        <v>1011</v>
      </c>
      <c r="O152" t="s">
        <v>278</v>
      </c>
      <c r="P152" t="s">
        <v>278</v>
      </c>
      <c r="Q152">
        <v>1</v>
      </c>
      <c r="W152">
        <v>0</v>
      </c>
      <c r="X152">
        <v>373646074</v>
      </c>
      <c r="Y152">
        <v>2.1800000000000002</v>
      </c>
      <c r="AA152">
        <v>0</v>
      </c>
      <c r="AB152">
        <v>4.16</v>
      </c>
      <c r="AC152">
        <v>0.01</v>
      </c>
      <c r="AD152">
        <v>0</v>
      </c>
      <c r="AE152">
        <v>0</v>
      </c>
      <c r="AF152">
        <v>4.16</v>
      </c>
      <c r="AG152">
        <v>0.01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2.1800000000000002</v>
      </c>
      <c r="AU152" t="s">
        <v>3</v>
      </c>
      <c r="AV152">
        <v>0</v>
      </c>
      <c r="AW152">
        <v>2</v>
      </c>
      <c r="AX152">
        <v>42187069</v>
      </c>
      <c r="AY152">
        <v>1</v>
      </c>
      <c r="AZ152">
        <v>0</v>
      </c>
      <c r="BA152">
        <v>149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Y152*Source!I304</f>
        <v>1.3080000000000001</v>
      </c>
      <c r="CY152">
        <f>AB152</f>
        <v>4.16</v>
      </c>
      <c r="CZ152">
        <f>AF152</f>
        <v>4.16</v>
      </c>
      <c r="DA152">
        <f>AJ152</f>
        <v>1</v>
      </c>
      <c r="DB152">
        <f t="shared" si="22"/>
        <v>9.07</v>
      </c>
      <c r="DC152">
        <f t="shared" si="23"/>
        <v>0.02</v>
      </c>
    </row>
    <row r="153" spans="1:107" x14ac:dyDescent="0.2">
      <c r="A153">
        <f>ROW(Source!A304)</f>
        <v>304</v>
      </c>
      <c r="B153">
        <v>42184655</v>
      </c>
      <c r="C153">
        <v>42187059</v>
      </c>
      <c r="D153">
        <v>40681432</v>
      </c>
      <c r="E153">
        <v>1</v>
      </c>
      <c r="F153">
        <v>1</v>
      </c>
      <c r="G153">
        <v>27</v>
      </c>
      <c r="H153">
        <v>3</v>
      </c>
      <c r="I153" t="s">
        <v>393</v>
      </c>
      <c r="J153" t="s">
        <v>394</v>
      </c>
      <c r="K153" t="s">
        <v>395</v>
      </c>
      <c r="L153">
        <v>1339</v>
      </c>
      <c r="N153">
        <v>1007</v>
      </c>
      <c r="O153" t="s">
        <v>38</v>
      </c>
      <c r="P153" t="s">
        <v>38</v>
      </c>
      <c r="Q153">
        <v>1</v>
      </c>
      <c r="W153">
        <v>0</v>
      </c>
      <c r="X153">
        <v>-1662970571</v>
      </c>
      <c r="Y153">
        <v>0.21</v>
      </c>
      <c r="AA153">
        <v>590.78</v>
      </c>
      <c r="AB153">
        <v>0</v>
      </c>
      <c r="AC153">
        <v>0</v>
      </c>
      <c r="AD153">
        <v>0</v>
      </c>
      <c r="AE153">
        <v>590.78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0.21</v>
      </c>
      <c r="AU153" t="s">
        <v>3</v>
      </c>
      <c r="AV153">
        <v>0</v>
      </c>
      <c r="AW153">
        <v>2</v>
      </c>
      <c r="AX153">
        <v>42187070</v>
      </c>
      <c r="AY153">
        <v>1</v>
      </c>
      <c r="AZ153">
        <v>0</v>
      </c>
      <c r="BA153">
        <v>150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Y153*Source!I304</f>
        <v>0.126</v>
      </c>
      <c r="CY153">
        <f>AA153</f>
        <v>590.78</v>
      </c>
      <c r="CZ153">
        <f>AE153</f>
        <v>590.78</v>
      </c>
      <c r="DA153">
        <f>AI153</f>
        <v>1</v>
      </c>
      <c r="DB153">
        <f t="shared" si="22"/>
        <v>124.06</v>
      </c>
      <c r="DC153">
        <f t="shared" si="23"/>
        <v>0</v>
      </c>
    </row>
    <row r="154" spans="1:107" x14ac:dyDescent="0.2">
      <c r="A154">
        <f>ROW(Source!A304)</f>
        <v>304</v>
      </c>
      <c r="B154">
        <v>42184655</v>
      </c>
      <c r="C154">
        <v>42187059</v>
      </c>
      <c r="D154">
        <v>40683256</v>
      </c>
      <c r="E154">
        <v>1</v>
      </c>
      <c r="F154">
        <v>1</v>
      </c>
      <c r="G154">
        <v>27</v>
      </c>
      <c r="H154">
        <v>3</v>
      </c>
      <c r="I154" t="s">
        <v>396</v>
      </c>
      <c r="J154" t="s">
        <v>397</v>
      </c>
      <c r="K154" t="s">
        <v>398</v>
      </c>
      <c r="L154">
        <v>1348</v>
      </c>
      <c r="N154">
        <v>1009</v>
      </c>
      <c r="O154" t="s">
        <v>68</v>
      </c>
      <c r="P154" t="s">
        <v>68</v>
      </c>
      <c r="Q154">
        <v>1000</v>
      </c>
      <c r="W154">
        <v>0</v>
      </c>
      <c r="X154">
        <v>-487600674</v>
      </c>
      <c r="Y154">
        <v>8.5299999999999994</v>
      </c>
      <c r="AA154">
        <v>3886.85</v>
      </c>
      <c r="AB154">
        <v>0</v>
      </c>
      <c r="AC154">
        <v>0</v>
      </c>
      <c r="AD154">
        <v>0</v>
      </c>
      <c r="AE154">
        <v>3886.85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8.5299999999999994</v>
      </c>
      <c r="AU154" t="s">
        <v>3</v>
      </c>
      <c r="AV154">
        <v>0</v>
      </c>
      <c r="AW154">
        <v>2</v>
      </c>
      <c r="AX154">
        <v>42187071</v>
      </c>
      <c r="AY154">
        <v>1</v>
      </c>
      <c r="AZ154">
        <v>0</v>
      </c>
      <c r="BA154">
        <v>151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Y154*Source!I304</f>
        <v>5.1179999999999994</v>
      </c>
      <c r="CY154">
        <f>AA154</f>
        <v>3886.85</v>
      </c>
      <c r="CZ154">
        <f>AE154</f>
        <v>3886.85</v>
      </c>
      <c r="DA154">
        <f>AI154</f>
        <v>1</v>
      </c>
      <c r="DB154">
        <f t="shared" si="22"/>
        <v>33154.83</v>
      </c>
      <c r="DC154">
        <f t="shared" si="23"/>
        <v>0</v>
      </c>
    </row>
    <row r="155" spans="1:107" x14ac:dyDescent="0.2">
      <c r="A155">
        <f>ROW(Source!A304)</f>
        <v>304</v>
      </c>
      <c r="B155">
        <v>42184655</v>
      </c>
      <c r="C155">
        <v>42187059</v>
      </c>
      <c r="D155">
        <v>40683935</v>
      </c>
      <c r="E155">
        <v>1</v>
      </c>
      <c r="F155">
        <v>1</v>
      </c>
      <c r="G155">
        <v>27</v>
      </c>
      <c r="H155">
        <v>3</v>
      </c>
      <c r="I155" t="s">
        <v>248</v>
      </c>
      <c r="J155" t="s">
        <v>250</v>
      </c>
      <c r="K155" t="s">
        <v>249</v>
      </c>
      <c r="L155">
        <v>1327</v>
      </c>
      <c r="N155">
        <v>1005</v>
      </c>
      <c r="O155" t="s">
        <v>223</v>
      </c>
      <c r="P155" t="s">
        <v>223</v>
      </c>
      <c r="Q155">
        <v>1</v>
      </c>
      <c r="W155">
        <v>0</v>
      </c>
      <c r="X155">
        <v>-529343282</v>
      </c>
      <c r="Y155">
        <v>100</v>
      </c>
      <c r="AA155">
        <v>664.27</v>
      </c>
      <c r="AB155">
        <v>0</v>
      </c>
      <c r="AC155">
        <v>0</v>
      </c>
      <c r="AD155">
        <v>0</v>
      </c>
      <c r="AE155">
        <v>664.27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0</v>
      </c>
      <c r="AR155">
        <v>0</v>
      </c>
      <c r="AS155" t="s">
        <v>3</v>
      </c>
      <c r="AT155">
        <v>100</v>
      </c>
      <c r="AU155" t="s">
        <v>3</v>
      </c>
      <c r="AV155">
        <v>0</v>
      </c>
      <c r="AW155">
        <v>1</v>
      </c>
      <c r="AX155">
        <v>-1</v>
      </c>
      <c r="AY155">
        <v>0</v>
      </c>
      <c r="AZ155">
        <v>0</v>
      </c>
      <c r="BA155" t="s">
        <v>3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Y155*Source!I304</f>
        <v>60</v>
      </c>
      <c r="CY155">
        <f>AA155</f>
        <v>664.27</v>
      </c>
      <c r="CZ155">
        <f>AE155</f>
        <v>664.27</v>
      </c>
      <c r="DA155">
        <f>AI155</f>
        <v>1</v>
      </c>
      <c r="DB155">
        <f t="shared" si="22"/>
        <v>66427</v>
      </c>
      <c r="DC155">
        <f t="shared" si="23"/>
        <v>0</v>
      </c>
    </row>
    <row r="156" spans="1:107" x14ac:dyDescent="0.2">
      <c r="A156">
        <f>ROW(Source!A304)</f>
        <v>304</v>
      </c>
      <c r="B156">
        <v>42184655</v>
      </c>
      <c r="C156">
        <v>42187059</v>
      </c>
      <c r="D156">
        <v>40684416</v>
      </c>
      <c r="E156">
        <v>1</v>
      </c>
      <c r="F156">
        <v>1</v>
      </c>
      <c r="G156">
        <v>27</v>
      </c>
      <c r="H156">
        <v>3</v>
      </c>
      <c r="I156" t="s">
        <v>399</v>
      </c>
      <c r="J156" t="s">
        <v>400</v>
      </c>
      <c r="K156" t="s">
        <v>401</v>
      </c>
      <c r="L156">
        <v>1354</v>
      </c>
      <c r="N156">
        <v>1010</v>
      </c>
      <c r="O156" t="s">
        <v>214</v>
      </c>
      <c r="P156" t="s">
        <v>214</v>
      </c>
      <c r="Q156">
        <v>1</v>
      </c>
      <c r="W156">
        <v>0</v>
      </c>
      <c r="X156">
        <v>976136319</v>
      </c>
      <c r="Y156">
        <v>1.5</v>
      </c>
      <c r="AA156">
        <v>5215.0200000000004</v>
      </c>
      <c r="AB156">
        <v>0</v>
      </c>
      <c r="AC156">
        <v>0</v>
      </c>
      <c r="AD156">
        <v>0</v>
      </c>
      <c r="AE156">
        <v>5215.0200000000004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1.5</v>
      </c>
      <c r="AU156" t="s">
        <v>3</v>
      </c>
      <c r="AV156">
        <v>0</v>
      </c>
      <c r="AW156">
        <v>2</v>
      </c>
      <c r="AX156">
        <v>42187072</v>
      </c>
      <c r="AY156">
        <v>1</v>
      </c>
      <c r="AZ156">
        <v>0</v>
      </c>
      <c r="BA156">
        <v>152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Y156*Source!I304</f>
        <v>0.89999999999999991</v>
      </c>
      <c r="CY156">
        <f>AA156</f>
        <v>5215.0200000000004</v>
      </c>
      <c r="CZ156">
        <f>AE156</f>
        <v>5215.0200000000004</v>
      </c>
      <c r="DA156">
        <f>AI156</f>
        <v>1</v>
      </c>
      <c r="DB156">
        <f t="shared" si="22"/>
        <v>7822.53</v>
      </c>
      <c r="DC156">
        <f t="shared" si="23"/>
        <v>0</v>
      </c>
    </row>
    <row r="157" spans="1:107" x14ac:dyDescent="0.2">
      <c r="A157">
        <f>ROW(Source!A343)</f>
        <v>343</v>
      </c>
      <c r="B157">
        <v>42184655</v>
      </c>
      <c r="C157">
        <v>42319824</v>
      </c>
      <c r="D157">
        <v>40662784</v>
      </c>
      <c r="E157">
        <v>27</v>
      </c>
      <c r="F157">
        <v>1</v>
      </c>
      <c r="G157">
        <v>27</v>
      </c>
      <c r="H157">
        <v>1</v>
      </c>
      <c r="I157" t="s">
        <v>272</v>
      </c>
      <c r="J157" t="s">
        <v>3</v>
      </c>
      <c r="K157" t="s">
        <v>273</v>
      </c>
      <c r="L157">
        <v>1191</v>
      </c>
      <c r="N157">
        <v>1013</v>
      </c>
      <c r="O157" t="s">
        <v>274</v>
      </c>
      <c r="P157" t="s">
        <v>274</v>
      </c>
      <c r="Q157">
        <v>1</v>
      </c>
      <c r="W157">
        <v>0</v>
      </c>
      <c r="X157">
        <v>476480486</v>
      </c>
      <c r="Y157">
        <v>76.7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76.7</v>
      </c>
      <c r="AU157" t="s">
        <v>3</v>
      </c>
      <c r="AV157">
        <v>1</v>
      </c>
      <c r="AW157">
        <v>2</v>
      </c>
      <c r="AX157">
        <v>42319826</v>
      </c>
      <c r="AY157">
        <v>1</v>
      </c>
      <c r="AZ157">
        <v>0</v>
      </c>
      <c r="BA157">
        <v>154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Y157*Source!I343</f>
        <v>107.38</v>
      </c>
      <c r="CY157">
        <f>AD157</f>
        <v>0</v>
      </c>
      <c r="CZ157">
        <f>AH157</f>
        <v>0</v>
      </c>
      <c r="DA157">
        <f>AL157</f>
        <v>1</v>
      </c>
      <c r="DB157">
        <f t="shared" si="22"/>
        <v>0</v>
      </c>
      <c r="DC157">
        <f t="shared" si="23"/>
        <v>0</v>
      </c>
    </row>
    <row r="158" spans="1:107" x14ac:dyDescent="0.2">
      <c r="A158">
        <f>ROW(Source!A344)</f>
        <v>344</v>
      </c>
      <c r="B158">
        <v>42184655</v>
      </c>
      <c r="C158">
        <v>42319827</v>
      </c>
      <c r="D158">
        <v>40662784</v>
      </c>
      <c r="E158">
        <v>27</v>
      </c>
      <c r="F158">
        <v>1</v>
      </c>
      <c r="G158">
        <v>27</v>
      </c>
      <c r="H158">
        <v>1</v>
      </c>
      <c r="I158" t="s">
        <v>272</v>
      </c>
      <c r="J158" t="s">
        <v>3</v>
      </c>
      <c r="K158" t="s">
        <v>273</v>
      </c>
      <c r="L158">
        <v>1191</v>
      </c>
      <c r="N158">
        <v>1013</v>
      </c>
      <c r="O158" t="s">
        <v>274</v>
      </c>
      <c r="P158" t="s">
        <v>274</v>
      </c>
      <c r="Q158">
        <v>1</v>
      </c>
      <c r="W158">
        <v>0</v>
      </c>
      <c r="X158">
        <v>476480486</v>
      </c>
      <c r="Y158">
        <v>1.02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1.02</v>
      </c>
      <c r="AU158" t="s">
        <v>3</v>
      </c>
      <c r="AV158">
        <v>1</v>
      </c>
      <c r="AW158">
        <v>2</v>
      </c>
      <c r="AX158">
        <v>42319829</v>
      </c>
      <c r="AY158">
        <v>1</v>
      </c>
      <c r="AZ158">
        <v>0</v>
      </c>
      <c r="BA158">
        <v>155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Y158*Source!I344</f>
        <v>2.1934079999999998</v>
      </c>
      <c r="CY158">
        <f>AD158</f>
        <v>0</v>
      </c>
      <c r="CZ158">
        <f>AH158</f>
        <v>0</v>
      </c>
      <c r="DA158">
        <f>AL158</f>
        <v>1</v>
      </c>
      <c r="DB158">
        <f t="shared" si="22"/>
        <v>0</v>
      </c>
      <c r="DC158">
        <f t="shared" si="23"/>
        <v>0</v>
      </c>
    </row>
    <row r="159" spans="1:107" x14ac:dyDescent="0.2">
      <c r="A159">
        <f>ROW(Source!A345)</f>
        <v>345</v>
      </c>
      <c r="B159">
        <v>42184655</v>
      </c>
      <c r="C159">
        <v>42319830</v>
      </c>
      <c r="D159">
        <v>40679276</v>
      </c>
      <c r="E159">
        <v>1</v>
      </c>
      <c r="F159">
        <v>1</v>
      </c>
      <c r="G159">
        <v>27</v>
      </c>
      <c r="H159">
        <v>2</v>
      </c>
      <c r="I159" t="s">
        <v>321</v>
      </c>
      <c r="J159" t="s">
        <v>322</v>
      </c>
      <c r="K159" t="s">
        <v>323</v>
      </c>
      <c r="L159">
        <v>1368</v>
      </c>
      <c r="N159">
        <v>1011</v>
      </c>
      <c r="O159" t="s">
        <v>278</v>
      </c>
      <c r="P159" t="s">
        <v>278</v>
      </c>
      <c r="Q159">
        <v>1</v>
      </c>
      <c r="W159">
        <v>0</v>
      </c>
      <c r="X159">
        <v>770341722</v>
      </c>
      <c r="Y159">
        <v>5.3699999999999998E-2</v>
      </c>
      <c r="AA159">
        <v>0</v>
      </c>
      <c r="AB159">
        <v>1494.43</v>
      </c>
      <c r="AC159">
        <v>481.21</v>
      </c>
      <c r="AD159">
        <v>0</v>
      </c>
      <c r="AE159">
        <v>0</v>
      </c>
      <c r="AF159">
        <v>1494.43</v>
      </c>
      <c r="AG159">
        <v>481.21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5.3699999999999998E-2</v>
      </c>
      <c r="AU159" t="s">
        <v>3</v>
      </c>
      <c r="AV159">
        <v>0</v>
      </c>
      <c r="AW159">
        <v>2</v>
      </c>
      <c r="AX159">
        <v>42319832</v>
      </c>
      <c r="AY159">
        <v>1</v>
      </c>
      <c r="AZ159">
        <v>0</v>
      </c>
      <c r="BA159">
        <v>156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Y159*Source!I345</f>
        <v>1.03928832</v>
      </c>
      <c r="CY159">
        <f t="shared" ref="CY159:CY165" si="27">AB159</f>
        <v>1494.43</v>
      </c>
      <c r="CZ159">
        <f t="shared" ref="CZ159:CZ165" si="28">AF159</f>
        <v>1494.43</v>
      </c>
      <c r="DA159">
        <f t="shared" ref="DA159:DA165" si="29">AJ159</f>
        <v>1</v>
      </c>
      <c r="DB159">
        <f t="shared" si="22"/>
        <v>80.25</v>
      </c>
      <c r="DC159">
        <f t="shared" si="23"/>
        <v>25.84</v>
      </c>
    </row>
    <row r="160" spans="1:107" x14ac:dyDescent="0.2">
      <c r="A160">
        <f>ROW(Source!A346)</f>
        <v>346</v>
      </c>
      <c r="B160">
        <v>42184655</v>
      </c>
      <c r="C160">
        <v>42319833</v>
      </c>
      <c r="D160">
        <v>40680074</v>
      </c>
      <c r="E160">
        <v>1</v>
      </c>
      <c r="F160">
        <v>1</v>
      </c>
      <c r="G160">
        <v>27</v>
      </c>
      <c r="H160">
        <v>2</v>
      </c>
      <c r="I160" t="s">
        <v>324</v>
      </c>
      <c r="J160" t="s">
        <v>325</v>
      </c>
      <c r="K160" t="s">
        <v>326</v>
      </c>
      <c r="L160">
        <v>1368</v>
      </c>
      <c r="N160">
        <v>1011</v>
      </c>
      <c r="O160" t="s">
        <v>278</v>
      </c>
      <c r="P160" t="s">
        <v>278</v>
      </c>
      <c r="Q160">
        <v>1</v>
      </c>
      <c r="W160">
        <v>0</v>
      </c>
      <c r="X160">
        <v>238809398</v>
      </c>
      <c r="Y160">
        <v>5.3999999999999999E-2</v>
      </c>
      <c r="AA160">
        <v>0</v>
      </c>
      <c r="AB160">
        <v>1009.4</v>
      </c>
      <c r="AC160">
        <v>316.82</v>
      </c>
      <c r="AD160">
        <v>0</v>
      </c>
      <c r="AE160">
        <v>0</v>
      </c>
      <c r="AF160">
        <v>1009.4</v>
      </c>
      <c r="AG160">
        <v>316.82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5.3999999999999999E-2</v>
      </c>
      <c r="AU160" t="s">
        <v>3</v>
      </c>
      <c r="AV160">
        <v>0</v>
      </c>
      <c r="AW160">
        <v>2</v>
      </c>
      <c r="AX160">
        <v>42319836</v>
      </c>
      <c r="AY160">
        <v>1</v>
      </c>
      <c r="AZ160">
        <v>0</v>
      </c>
      <c r="BA160">
        <v>157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Y160*Source!I346</f>
        <v>0.11612159999999999</v>
      </c>
      <c r="CY160">
        <f t="shared" si="27"/>
        <v>1009.4</v>
      </c>
      <c r="CZ160">
        <f t="shared" si="28"/>
        <v>1009.4</v>
      </c>
      <c r="DA160">
        <f t="shared" si="29"/>
        <v>1</v>
      </c>
      <c r="DB160">
        <f t="shared" si="22"/>
        <v>54.51</v>
      </c>
      <c r="DC160">
        <f t="shared" si="23"/>
        <v>17.11</v>
      </c>
    </row>
    <row r="161" spans="1:107" x14ac:dyDescent="0.2">
      <c r="A161">
        <f>ROW(Source!A346)</f>
        <v>346</v>
      </c>
      <c r="B161">
        <v>42184655</v>
      </c>
      <c r="C161">
        <v>42319833</v>
      </c>
      <c r="D161">
        <v>40680075</v>
      </c>
      <c r="E161">
        <v>1</v>
      </c>
      <c r="F161">
        <v>1</v>
      </c>
      <c r="G161">
        <v>27</v>
      </c>
      <c r="H161">
        <v>2</v>
      </c>
      <c r="I161" t="s">
        <v>282</v>
      </c>
      <c r="J161" t="s">
        <v>283</v>
      </c>
      <c r="K161" t="s">
        <v>284</v>
      </c>
      <c r="L161">
        <v>1368</v>
      </c>
      <c r="N161">
        <v>1011</v>
      </c>
      <c r="O161" t="s">
        <v>278</v>
      </c>
      <c r="P161" t="s">
        <v>278</v>
      </c>
      <c r="Q161">
        <v>1</v>
      </c>
      <c r="W161">
        <v>0</v>
      </c>
      <c r="X161">
        <v>-1786200580</v>
      </c>
      <c r="Y161">
        <v>5.5E-2</v>
      </c>
      <c r="AA161">
        <v>0</v>
      </c>
      <c r="AB161">
        <v>1014.12</v>
      </c>
      <c r="AC161">
        <v>317.13</v>
      </c>
      <c r="AD161">
        <v>0</v>
      </c>
      <c r="AE161">
        <v>0</v>
      </c>
      <c r="AF161">
        <v>1014.12</v>
      </c>
      <c r="AG161">
        <v>317.13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5.5E-2</v>
      </c>
      <c r="AU161" t="s">
        <v>3</v>
      </c>
      <c r="AV161">
        <v>0</v>
      </c>
      <c r="AW161">
        <v>2</v>
      </c>
      <c r="AX161">
        <v>42319837</v>
      </c>
      <c r="AY161">
        <v>1</v>
      </c>
      <c r="AZ161">
        <v>0</v>
      </c>
      <c r="BA161">
        <v>158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Y161*Source!I346</f>
        <v>0.11827199999999999</v>
      </c>
      <c r="CY161">
        <f t="shared" si="27"/>
        <v>1014.12</v>
      </c>
      <c r="CZ161">
        <f t="shared" si="28"/>
        <v>1014.12</v>
      </c>
      <c r="DA161">
        <f t="shared" si="29"/>
        <v>1</v>
      </c>
      <c r="DB161">
        <f t="shared" si="22"/>
        <v>55.78</v>
      </c>
      <c r="DC161">
        <f t="shared" si="23"/>
        <v>17.440000000000001</v>
      </c>
    </row>
    <row r="162" spans="1:107" x14ac:dyDescent="0.2">
      <c r="A162">
        <f>ROW(Source!A347)</f>
        <v>347</v>
      </c>
      <c r="B162">
        <v>42184655</v>
      </c>
      <c r="C162">
        <v>42319838</v>
      </c>
      <c r="D162">
        <v>40680074</v>
      </c>
      <c r="E162">
        <v>1</v>
      </c>
      <c r="F162">
        <v>1</v>
      </c>
      <c r="G162">
        <v>27</v>
      </c>
      <c r="H162">
        <v>2</v>
      </c>
      <c r="I162" t="s">
        <v>324</v>
      </c>
      <c r="J162" t="s">
        <v>325</v>
      </c>
      <c r="K162" t="s">
        <v>326</v>
      </c>
      <c r="L162">
        <v>1368</v>
      </c>
      <c r="N162">
        <v>1011</v>
      </c>
      <c r="O162" t="s">
        <v>278</v>
      </c>
      <c r="P162" t="s">
        <v>278</v>
      </c>
      <c r="Q162">
        <v>1</v>
      </c>
      <c r="W162">
        <v>0</v>
      </c>
      <c r="X162">
        <v>238809398</v>
      </c>
      <c r="Y162">
        <v>0.02</v>
      </c>
      <c r="AA162">
        <v>0</v>
      </c>
      <c r="AB162">
        <v>1009.4</v>
      </c>
      <c r="AC162">
        <v>316.82</v>
      </c>
      <c r="AD162">
        <v>0</v>
      </c>
      <c r="AE162">
        <v>0</v>
      </c>
      <c r="AF162">
        <v>1009.4</v>
      </c>
      <c r="AG162">
        <v>316.82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0.02</v>
      </c>
      <c r="AU162" t="s">
        <v>3</v>
      </c>
      <c r="AV162">
        <v>0</v>
      </c>
      <c r="AW162">
        <v>2</v>
      </c>
      <c r="AX162">
        <v>42319841</v>
      </c>
      <c r="AY162">
        <v>1</v>
      </c>
      <c r="AZ162">
        <v>0</v>
      </c>
      <c r="BA162">
        <v>159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Y162*Source!I347</f>
        <v>0.38707200000000003</v>
      </c>
      <c r="CY162">
        <f t="shared" si="27"/>
        <v>1009.4</v>
      </c>
      <c r="CZ162">
        <f t="shared" si="28"/>
        <v>1009.4</v>
      </c>
      <c r="DA162">
        <f t="shared" si="29"/>
        <v>1</v>
      </c>
      <c r="DB162">
        <f t="shared" si="22"/>
        <v>20.190000000000001</v>
      </c>
      <c r="DC162">
        <f t="shared" si="23"/>
        <v>6.34</v>
      </c>
    </row>
    <row r="163" spans="1:107" x14ac:dyDescent="0.2">
      <c r="A163">
        <f>ROW(Source!A347)</f>
        <v>347</v>
      </c>
      <c r="B163">
        <v>42184655</v>
      </c>
      <c r="C163">
        <v>42319838</v>
      </c>
      <c r="D163">
        <v>40680075</v>
      </c>
      <c r="E163">
        <v>1</v>
      </c>
      <c r="F163">
        <v>1</v>
      </c>
      <c r="G163">
        <v>27</v>
      </c>
      <c r="H163">
        <v>2</v>
      </c>
      <c r="I163" t="s">
        <v>282</v>
      </c>
      <c r="J163" t="s">
        <v>283</v>
      </c>
      <c r="K163" t="s">
        <v>284</v>
      </c>
      <c r="L163">
        <v>1368</v>
      </c>
      <c r="N163">
        <v>1011</v>
      </c>
      <c r="O163" t="s">
        <v>278</v>
      </c>
      <c r="P163" t="s">
        <v>278</v>
      </c>
      <c r="Q163">
        <v>1</v>
      </c>
      <c r="W163">
        <v>0</v>
      </c>
      <c r="X163">
        <v>-1786200580</v>
      </c>
      <c r="Y163">
        <v>1.7999999999999999E-2</v>
      </c>
      <c r="AA163">
        <v>0</v>
      </c>
      <c r="AB163">
        <v>1014.12</v>
      </c>
      <c r="AC163">
        <v>317.13</v>
      </c>
      <c r="AD163">
        <v>0</v>
      </c>
      <c r="AE163">
        <v>0</v>
      </c>
      <c r="AF163">
        <v>1014.12</v>
      </c>
      <c r="AG163">
        <v>317.13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1.7999999999999999E-2</v>
      </c>
      <c r="AU163" t="s">
        <v>3</v>
      </c>
      <c r="AV163">
        <v>0</v>
      </c>
      <c r="AW163">
        <v>2</v>
      </c>
      <c r="AX163">
        <v>42319842</v>
      </c>
      <c r="AY163">
        <v>1</v>
      </c>
      <c r="AZ163">
        <v>0</v>
      </c>
      <c r="BA163">
        <v>160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Y163*Source!I347</f>
        <v>0.34836479999999997</v>
      </c>
      <c r="CY163">
        <f t="shared" si="27"/>
        <v>1014.12</v>
      </c>
      <c r="CZ163">
        <f t="shared" si="28"/>
        <v>1014.12</v>
      </c>
      <c r="DA163">
        <f t="shared" si="29"/>
        <v>1</v>
      </c>
      <c r="DB163">
        <f t="shared" si="22"/>
        <v>18.25</v>
      </c>
      <c r="DC163">
        <f t="shared" si="23"/>
        <v>5.71</v>
      </c>
    </row>
    <row r="164" spans="1:107" x14ac:dyDescent="0.2">
      <c r="A164">
        <f>ROW(Source!A348)</f>
        <v>348</v>
      </c>
      <c r="B164">
        <v>42184655</v>
      </c>
      <c r="C164">
        <v>42319843</v>
      </c>
      <c r="D164">
        <v>40680074</v>
      </c>
      <c r="E164">
        <v>1</v>
      </c>
      <c r="F164">
        <v>1</v>
      </c>
      <c r="G164">
        <v>27</v>
      </c>
      <c r="H164">
        <v>2</v>
      </c>
      <c r="I164" t="s">
        <v>324</v>
      </c>
      <c r="J164" t="s">
        <v>325</v>
      </c>
      <c r="K164" t="s">
        <v>326</v>
      </c>
      <c r="L164">
        <v>1368</v>
      </c>
      <c r="N164">
        <v>1011</v>
      </c>
      <c r="O164" t="s">
        <v>278</v>
      </c>
      <c r="P164" t="s">
        <v>278</v>
      </c>
      <c r="Q164">
        <v>1</v>
      </c>
      <c r="W164">
        <v>0</v>
      </c>
      <c r="X164">
        <v>238809398</v>
      </c>
      <c r="Y164">
        <v>0.51</v>
      </c>
      <c r="AA164">
        <v>0</v>
      </c>
      <c r="AB164">
        <v>1009.4</v>
      </c>
      <c r="AC164">
        <v>316.82</v>
      </c>
      <c r="AD164">
        <v>0</v>
      </c>
      <c r="AE164">
        <v>0</v>
      </c>
      <c r="AF164">
        <v>1009.4</v>
      </c>
      <c r="AG164">
        <v>316.82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0.01</v>
      </c>
      <c r="AU164" t="s">
        <v>165</v>
      </c>
      <c r="AV164">
        <v>0</v>
      </c>
      <c r="AW164">
        <v>2</v>
      </c>
      <c r="AX164">
        <v>42319846</v>
      </c>
      <c r="AY164">
        <v>1</v>
      </c>
      <c r="AZ164">
        <v>0</v>
      </c>
      <c r="BA164">
        <v>161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Y164*Source!I348</f>
        <v>10.967040000000001</v>
      </c>
      <c r="CY164">
        <f t="shared" si="27"/>
        <v>1009.4</v>
      </c>
      <c r="CZ164">
        <f t="shared" si="28"/>
        <v>1009.4</v>
      </c>
      <c r="DA164">
        <f t="shared" si="29"/>
        <v>1</v>
      </c>
      <c r="DB164">
        <f>ROUND((ROUND(AT164*CZ164,2)*51),6)</f>
        <v>514.59</v>
      </c>
      <c r="DC164">
        <f>ROUND((ROUND(AT164*AG164,2)*51),6)</f>
        <v>161.66999999999999</v>
      </c>
    </row>
    <row r="165" spans="1:107" x14ac:dyDescent="0.2">
      <c r="A165">
        <f>ROW(Source!A348)</f>
        <v>348</v>
      </c>
      <c r="B165">
        <v>42184655</v>
      </c>
      <c r="C165">
        <v>42319843</v>
      </c>
      <c r="D165">
        <v>40680075</v>
      </c>
      <c r="E165">
        <v>1</v>
      </c>
      <c r="F165">
        <v>1</v>
      </c>
      <c r="G165">
        <v>27</v>
      </c>
      <c r="H165">
        <v>2</v>
      </c>
      <c r="I165" t="s">
        <v>282</v>
      </c>
      <c r="J165" t="s">
        <v>283</v>
      </c>
      <c r="K165" t="s">
        <v>284</v>
      </c>
      <c r="L165">
        <v>1368</v>
      </c>
      <c r="N165">
        <v>1011</v>
      </c>
      <c r="O165" t="s">
        <v>278</v>
      </c>
      <c r="P165" t="s">
        <v>278</v>
      </c>
      <c r="Q165">
        <v>1</v>
      </c>
      <c r="W165">
        <v>0</v>
      </c>
      <c r="X165">
        <v>-1786200580</v>
      </c>
      <c r="Y165">
        <v>0.40800000000000003</v>
      </c>
      <c r="AA165">
        <v>0</v>
      </c>
      <c r="AB165">
        <v>1014.12</v>
      </c>
      <c r="AC165">
        <v>317.13</v>
      </c>
      <c r="AD165">
        <v>0</v>
      </c>
      <c r="AE165">
        <v>0</v>
      </c>
      <c r="AF165">
        <v>1014.12</v>
      </c>
      <c r="AG165">
        <v>317.13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8.0000000000000002E-3</v>
      </c>
      <c r="AU165" t="s">
        <v>165</v>
      </c>
      <c r="AV165">
        <v>0</v>
      </c>
      <c r="AW165">
        <v>2</v>
      </c>
      <c r="AX165">
        <v>42319847</v>
      </c>
      <c r="AY165">
        <v>1</v>
      </c>
      <c r="AZ165">
        <v>0</v>
      </c>
      <c r="BA165">
        <v>162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Y165*Source!I348</f>
        <v>8.773632000000001</v>
      </c>
      <c r="CY165">
        <f t="shared" si="27"/>
        <v>1014.12</v>
      </c>
      <c r="CZ165">
        <f t="shared" si="28"/>
        <v>1014.12</v>
      </c>
      <c r="DA165">
        <f t="shared" si="29"/>
        <v>1</v>
      </c>
      <c r="DB165">
        <f>ROUND((ROUND(AT165*CZ165,2)*51),6)</f>
        <v>413.61</v>
      </c>
      <c r="DC165">
        <f>ROUND((ROUND(AT165*AG165,2)*51),6)</f>
        <v>129.54</v>
      </c>
    </row>
    <row r="166" spans="1:107" x14ac:dyDescent="0.2">
      <c r="A166">
        <f>ROW(Source!A350)</f>
        <v>350</v>
      </c>
      <c r="B166">
        <v>42184655</v>
      </c>
      <c r="C166">
        <v>42319849</v>
      </c>
      <c r="D166">
        <v>40662784</v>
      </c>
      <c r="E166">
        <v>27</v>
      </c>
      <c r="F166">
        <v>1</v>
      </c>
      <c r="G166">
        <v>27</v>
      </c>
      <c r="H166">
        <v>1</v>
      </c>
      <c r="I166" t="s">
        <v>272</v>
      </c>
      <c r="J166" t="s">
        <v>3</v>
      </c>
      <c r="K166" t="s">
        <v>273</v>
      </c>
      <c r="L166">
        <v>1191</v>
      </c>
      <c r="N166">
        <v>1013</v>
      </c>
      <c r="O166" t="s">
        <v>274</v>
      </c>
      <c r="P166" t="s">
        <v>274</v>
      </c>
      <c r="Q166">
        <v>1</v>
      </c>
      <c r="W166">
        <v>0</v>
      </c>
      <c r="X166">
        <v>476480486</v>
      </c>
      <c r="Y166">
        <v>16.559999999999999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16.559999999999999</v>
      </c>
      <c r="AU166" t="s">
        <v>3</v>
      </c>
      <c r="AV166">
        <v>1</v>
      </c>
      <c r="AW166">
        <v>2</v>
      </c>
      <c r="AX166">
        <v>42319858</v>
      </c>
      <c r="AY166">
        <v>1</v>
      </c>
      <c r="AZ166">
        <v>0</v>
      </c>
      <c r="BA166">
        <v>163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Y166*Source!I350</f>
        <v>0.2898</v>
      </c>
      <c r="CY166">
        <f>AD166</f>
        <v>0</v>
      </c>
      <c r="CZ166">
        <f>AH166</f>
        <v>0</v>
      </c>
      <c r="DA166">
        <f>AL166</f>
        <v>1</v>
      </c>
      <c r="DB166">
        <f t="shared" ref="DB166:DB187" si="30">ROUND(ROUND(AT166*CZ166,2),6)</f>
        <v>0</v>
      </c>
      <c r="DC166">
        <f t="shared" ref="DC166:DC187" si="31">ROUND(ROUND(AT166*AG166,2),6)</f>
        <v>0</v>
      </c>
    </row>
    <row r="167" spans="1:107" x14ac:dyDescent="0.2">
      <c r="A167">
        <f>ROW(Source!A350)</f>
        <v>350</v>
      </c>
      <c r="B167">
        <v>42184655</v>
      </c>
      <c r="C167">
        <v>42319849</v>
      </c>
      <c r="D167">
        <v>40679320</v>
      </c>
      <c r="E167">
        <v>1</v>
      </c>
      <c r="F167">
        <v>1</v>
      </c>
      <c r="G167">
        <v>27</v>
      </c>
      <c r="H167">
        <v>2</v>
      </c>
      <c r="I167" t="s">
        <v>285</v>
      </c>
      <c r="J167" t="s">
        <v>286</v>
      </c>
      <c r="K167" t="s">
        <v>287</v>
      </c>
      <c r="L167">
        <v>1368</v>
      </c>
      <c r="N167">
        <v>1011</v>
      </c>
      <c r="O167" t="s">
        <v>278</v>
      </c>
      <c r="P167" t="s">
        <v>278</v>
      </c>
      <c r="Q167">
        <v>1</v>
      </c>
      <c r="W167">
        <v>0</v>
      </c>
      <c r="X167">
        <v>-714750861</v>
      </c>
      <c r="Y167">
        <v>2.08</v>
      </c>
      <c r="AA167">
        <v>0</v>
      </c>
      <c r="AB167">
        <v>740.94</v>
      </c>
      <c r="AC167">
        <v>413.22</v>
      </c>
      <c r="AD167">
        <v>0</v>
      </c>
      <c r="AE167">
        <v>0</v>
      </c>
      <c r="AF167">
        <v>740.94</v>
      </c>
      <c r="AG167">
        <v>413.22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2.08</v>
      </c>
      <c r="AU167" t="s">
        <v>3</v>
      </c>
      <c r="AV167">
        <v>0</v>
      </c>
      <c r="AW167">
        <v>2</v>
      </c>
      <c r="AX167">
        <v>42319859</v>
      </c>
      <c r="AY167">
        <v>1</v>
      </c>
      <c r="AZ167">
        <v>0</v>
      </c>
      <c r="BA167">
        <v>164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Y167*Source!I350</f>
        <v>3.6400000000000002E-2</v>
      </c>
      <c r="CY167">
        <f>AB167</f>
        <v>740.94</v>
      </c>
      <c r="CZ167">
        <f>AF167</f>
        <v>740.94</v>
      </c>
      <c r="DA167">
        <f>AJ167</f>
        <v>1</v>
      </c>
      <c r="DB167">
        <f t="shared" si="30"/>
        <v>1541.16</v>
      </c>
      <c r="DC167">
        <f t="shared" si="31"/>
        <v>859.5</v>
      </c>
    </row>
    <row r="168" spans="1:107" x14ac:dyDescent="0.2">
      <c r="A168">
        <f>ROW(Source!A350)</f>
        <v>350</v>
      </c>
      <c r="B168">
        <v>42184655</v>
      </c>
      <c r="C168">
        <v>42319849</v>
      </c>
      <c r="D168">
        <v>40679475</v>
      </c>
      <c r="E168">
        <v>1</v>
      </c>
      <c r="F168">
        <v>1</v>
      </c>
      <c r="G168">
        <v>27</v>
      </c>
      <c r="H168">
        <v>2</v>
      </c>
      <c r="I168" t="s">
        <v>288</v>
      </c>
      <c r="J168" t="s">
        <v>289</v>
      </c>
      <c r="K168" t="s">
        <v>290</v>
      </c>
      <c r="L168">
        <v>1368</v>
      </c>
      <c r="N168">
        <v>1011</v>
      </c>
      <c r="O168" t="s">
        <v>278</v>
      </c>
      <c r="P168" t="s">
        <v>278</v>
      </c>
      <c r="Q168">
        <v>1</v>
      </c>
      <c r="W168">
        <v>0</v>
      </c>
      <c r="X168">
        <v>1985690002</v>
      </c>
      <c r="Y168">
        <v>2.08</v>
      </c>
      <c r="AA168">
        <v>0</v>
      </c>
      <c r="AB168">
        <v>430.32</v>
      </c>
      <c r="AC168">
        <v>215.31</v>
      </c>
      <c r="AD168">
        <v>0</v>
      </c>
      <c r="AE168">
        <v>0</v>
      </c>
      <c r="AF168">
        <v>430.32</v>
      </c>
      <c r="AG168">
        <v>215.31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2.08</v>
      </c>
      <c r="AU168" t="s">
        <v>3</v>
      </c>
      <c r="AV168">
        <v>0</v>
      </c>
      <c r="AW168">
        <v>2</v>
      </c>
      <c r="AX168">
        <v>42319860</v>
      </c>
      <c r="AY168">
        <v>1</v>
      </c>
      <c r="AZ168">
        <v>0</v>
      </c>
      <c r="BA168">
        <v>165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Y168*Source!I350</f>
        <v>3.6400000000000002E-2</v>
      </c>
      <c r="CY168">
        <f>AB168</f>
        <v>430.32</v>
      </c>
      <c r="CZ168">
        <f>AF168</f>
        <v>430.32</v>
      </c>
      <c r="DA168">
        <f>AJ168</f>
        <v>1</v>
      </c>
      <c r="DB168">
        <f t="shared" si="30"/>
        <v>895.07</v>
      </c>
      <c r="DC168">
        <f t="shared" si="31"/>
        <v>447.84</v>
      </c>
    </row>
    <row r="169" spans="1:107" x14ac:dyDescent="0.2">
      <c r="A169">
        <f>ROW(Source!A350)</f>
        <v>350</v>
      </c>
      <c r="B169">
        <v>42184655</v>
      </c>
      <c r="C169">
        <v>42319849</v>
      </c>
      <c r="D169">
        <v>40679478</v>
      </c>
      <c r="E169">
        <v>1</v>
      </c>
      <c r="F169">
        <v>1</v>
      </c>
      <c r="G169">
        <v>27</v>
      </c>
      <c r="H169">
        <v>2</v>
      </c>
      <c r="I169" t="s">
        <v>291</v>
      </c>
      <c r="J169" t="s">
        <v>292</v>
      </c>
      <c r="K169" t="s">
        <v>293</v>
      </c>
      <c r="L169">
        <v>1368</v>
      </c>
      <c r="N169">
        <v>1011</v>
      </c>
      <c r="O169" t="s">
        <v>278</v>
      </c>
      <c r="P169" t="s">
        <v>278</v>
      </c>
      <c r="Q169">
        <v>1</v>
      </c>
      <c r="W169">
        <v>0</v>
      </c>
      <c r="X169">
        <v>351519474</v>
      </c>
      <c r="Y169">
        <v>0.81</v>
      </c>
      <c r="AA169">
        <v>0</v>
      </c>
      <c r="AB169">
        <v>2020.59</v>
      </c>
      <c r="AC169">
        <v>458.56</v>
      </c>
      <c r="AD169">
        <v>0</v>
      </c>
      <c r="AE169">
        <v>0</v>
      </c>
      <c r="AF169">
        <v>2020.59</v>
      </c>
      <c r="AG169">
        <v>458.56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0.81</v>
      </c>
      <c r="AU169" t="s">
        <v>3</v>
      </c>
      <c r="AV169">
        <v>0</v>
      </c>
      <c r="AW169">
        <v>2</v>
      </c>
      <c r="AX169">
        <v>42319861</v>
      </c>
      <c r="AY169">
        <v>1</v>
      </c>
      <c r="AZ169">
        <v>0</v>
      </c>
      <c r="BA169">
        <v>166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Y169*Source!I350</f>
        <v>1.4175000000000002E-2</v>
      </c>
      <c r="CY169">
        <f>AB169</f>
        <v>2020.59</v>
      </c>
      <c r="CZ169">
        <f>AF169</f>
        <v>2020.59</v>
      </c>
      <c r="DA169">
        <f>AJ169</f>
        <v>1</v>
      </c>
      <c r="DB169">
        <f t="shared" si="30"/>
        <v>1636.68</v>
      </c>
      <c r="DC169">
        <f t="shared" si="31"/>
        <v>371.43</v>
      </c>
    </row>
    <row r="170" spans="1:107" x14ac:dyDescent="0.2">
      <c r="A170">
        <f>ROW(Source!A350)</f>
        <v>350</v>
      </c>
      <c r="B170">
        <v>42184655</v>
      </c>
      <c r="C170">
        <v>42319849</v>
      </c>
      <c r="D170">
        <v>40679502</v>
      </c>
      <c r="E170">
        <v>1</v>
      </c>
      <c r="F170">
        <v>1</v>
      </c>
      <c r="G170">
        <v>27</v>
      </c>
      <c r="H170">
        <v>2</v>
      </c>
      <c r="I170" t="s">
        <v>294</v>
      </c>
      <c r="J170" t="s">
        <v>295</v>
      </c>
      <c r="K170" t="s">
        <v>296</v>
      </c>
      <c r="L170">
        <v>1368</v>
      </c>
      <c r="N170">
        <v>1011</v>
      </c>
      <c r="O170" t="s">
        <v>278</v>
      </c>
      <c r="P170" t="s">
        <v>278</v>
      </c>
      <c r="Q170">
        <v>1</v>
      </c>
      <c r="W170">
        <v>0</v>
      </c>
      <c r="X170">
        <v>41279402</v>
      </c>
      <c r="Y170">
        <v>1.94</v>
      </c>
      <c r="AA170">
        <v>0</v>
      </c>
      <c r="AB170">
        <v>1412.71</v>
      </c>
      <c r="AC170">
        <v>641.32000000000005</v>
      </c>
      <c r="AD170">
        <v>0</v>
      </c>
      <c r="AE170">
        <v>0</v>
      </c>
      <c r="AF170">
        <v>1412.71</v>
      </c>
      <c r="AG170">
        <v>641.32000000000005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1.94</v>
      </c>
      <c r="AU170" t="s">
        <v>3</v>
      </c>
      <c r="AV170">
        <v>0</v>
      </c>
      <c r="AW170">
        <v>2</v>
      </c>
      <c r="AX170">
        <v>42319862</v>
      </c>
      <c r="AY170">
        <v>1</v>
      </c>
      <c r="AZ170">
        <v>0</v>
      </c>
      <c r="BA170">
        <v>167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Y170*Source!I350</f>
        <v>3.3950000000000001E-2</v>
      </c>
      <c r="CY170">
        <f>AB170</f>
        <v>1412.71</v>
      </c>
      <c r="CZ170">
        <f>AF170</f>
        <v>1412.71</v>
      </c>
      <c r="DA170">
        <f>AJ170</f>
        <v>1</v>
      </c>
      <c r="DB170">
        <f t="shared" si="30"/>
        <v>2740.66</v>
      </c>
      <c r="DC170">
        <f t="shared" si="31"/>
        <v>1244.1600000000001</v>
      </c>
    </row>
    <row r="171" spans="1:107" x14ac:dyDescent="0.2">
      <c r="A171">
        <f>ROW(Source!A350)</f>
        <v>350</v>
      </c>
      <c r="B171">
        <v>42184655</v>
      </c>
      <c r="C171">
        <v>42319849</v>
      </c>
      <c r="D171">
        <v>40679468</v>
      </c>
      <c r="E171">
        <v>1</v>
      </c>
      <c r="F171">
        <v>1</v>
      </c>
      <c r="G171">
        <v>27</v>
      </c>
      <c r="H171">
        <v>2</v>
      </c>
      <c r="I171" t="s">
        <v>297</v>
      </c>
      <c r="J171" t="s">
        <v>298</v>
      </c>
      <c r="K171" t="s">
        <v>299</v>
      </c>
      <c r="L171">
        <v>1368</v>
      </c>
      <c r="N171">
        <v>1011</v>
      </c>
      <c r="O171" t="s">
        <v>278</v>
      </c>
      <c r="P171" t="s">
        <v>278</v>
      </c>
      <c r="Q171">
        <v>1</v>
      </c>
      <c r="W171">
        <v>0</v>
      </c>
      <c r="X171">
        <v>-1991511797</v>
      </c>
      <c r="Y171">
        <v>0.65</v>
      </c>
      <c r="AA171">
        <v>0</v>
      </c>
      <c r="AB171">
        <v>1213.3399999999999</v>
      </c>
      <c r="AC171">
        <v>461.6</v>
      </c>
      <c r="AD171">
        <v>0</v>
      </c>
      <c r="AE171">
        <v>0</v>
      </c>
      <c r="AF171">
        <v>1213.3399999999999</v>
      </c>
      <c r="AG171">
        <v>461.6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0.65</v>
      </c>
      <c r="AU171" t="s">
        <v>3</v>
      </c>
      <c r="AV171">
        <v>0</v>
      </c>
      <c r="AW171">
        <v>2</v>
      </c>
      <c r="AX171">
        <v>42319863</v>
      </c>
      <c r="AY171">
        <v>1</v>
      </c>
      <c r="AZ171">
        <v>0</v>
      </c>
      <c r="BA171">
        <v>168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Y171*Source!I350</f>
        <v>1.1375000000000001E-2</v>
      </c>
      <c r="CY171">
        <f>AB171</f>
        <v>1213.3399999999999</v>
      </c>
      <c r="CZ171">
        <f>AF171</f>
        <v>1213.3399999999999</v>
      </c>
      <c r="DA171">
        <f>AJ171</f>
        <v>1</v>
      </c>
      <c r="DB171">
        <f t="shared" si="30"/>
        <v>788.67</v>
      </c>
      <c r="DC171">
        <f t="shared" si="31"/>
        <v>300.04000000000002</v>
      </c>
    </row>
    <row r="172" spans="1:107" x14ac:dyDescent="0.2">
      <c r="A172">
        <f>ROW(Source!A350)</f>
        <v>350</v>
      </c>
      <c r="B172">
        <v>42184655</v>
      </c>
      <c r="C172">
        <v>42319849</v>
      </c>
      <c r="D172">
        <v>40681431</v>
      </c>
      <c r="E172">
        <v>1</v>
      </c>
      <c r="F172">
        <v>1</v>
      </c>
      <c r="G172">
        <v>27</v>
      </c>
      <c r="H172">
        <v>3</v>
      </c>
      <c r="I172" t="s">
        <v>300</v>
      </c>
      <c r="J172" t="s">
        <v>301</v>
      </c>
      <c r="K172" t="s">
        <v>302</v>
      </c>
      <c r="L172">
        <v>1339</v>
      </c>
      <c r="N172">
        <v>1007</v>
      </c>
      <c r="O172" t="s">
        <v>38</v>
      </c>
      <c r="P172" t="s">
        <v>38</v>
      </c>
      <c r="Q172">
        <v>1</v>
      </c>
      <c r="W172">
        <v>0</v>
      </c>
      <c r="X172">
        <v>-840107338</v>
      </c>
      <c r="Y172">
        <v>110</v>
      </c>
      <c r="AA172">
        <v>590.78</v>
      </c>
      <c r="AB172">
        <v>0</v>
      </c>
      <c r="AC172">
        <v>0</v>
      </c>
      <c r="AD172">
        <v>0</v>
      </c>
      <c r="AE172">
        <v>590.78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110</v>
      </c>
      <c r="AU172" t="s">
        <v>3</v>
      </c>
      <c r="AV172">
        <v>0</v>
      </c>
      <c r="AW172">
        <v>2</v>
      </c>
      <c r="AX172">
        <v>42319864</v>
      </c>
      <c r="AY172">
        <v>1</v>
      </c>
      <c r="AZ172">
        <v>0</v>
      </c>
      <c r="BA172">
        <v>169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Y172*Source!I350</f>
        <v>1.9250000000000003</v>
      </c>
      <c r="CY172">
        <f>AA172</f>
        <v>590.78</v>
      </c>
      <c r="CZ172">
        <f>AE172</f>
        <v>590.78</v>
      </c>
      <c r="DA172">
        <f>AI172</f>
        <v>1</v>
      </c>
      <c r="DB172">
        <f t="shared" si="30"/>
        <v>64985.8</v>
      </c>
      <c r="DC172">
        <f t="shared" si="31"/>
        <v>0</v>
      </c>
    </row>
    <row r="173" spans="1:107" x14ac:dyDescent="0.2">
      <c r="A173">
        <f>ROW(Source!A350)</f>
        <v>350</v>
      </c>
      <c r="B173">
        <v>42184655</v>
      </c>
      <c r="C173">
        <v>42319849</v>
      </c>
      <c r="D173">
        <v>40682177</v>
      </c>
      <c r="E173">
        <v>1</v>
      </c>
      <c r="F173">
        <v>1</v>
      </c>
      <c r="G173">
        <v>27</v>
      </c>
      <c r="H173">
        <v>3</v>
      </c>
      <c r="I173" t="s">
        <v>303</v>
      </c>
      <c r="J173" t="s">
        <v>304</v>
      </c>
      <c r="K173" t="s">
        <v>305</v>
      </c>
      <c r="L173">
        <v>1339</v>
      </c>
      <c r="N173">
        <v>1007</v>
      </c>
      <c r="O173" t="s">
        <v>38</v>
      </c>
      <c r="P173" t="s">
        <v>38</v>
      </c>
      <c r="Q173">
        <v>1</v>
      </c>
      <c r="W173">
        <v>0</v>
      </c>
      <c r="X173">
        <v>2028445372</v>
      </c>
      <c r="Y173">
        <v>5</v>
      </c>
      <c r="AA173">
        <v>35.25</v>
      </c>
      <c r="AB173">
        <v>0</v>
      </c>
      <c r="AC173">
        <v>0</v>
      </c>
      <c r="AD173">
        <v>0</v>
      </c>
      <c r="AE173">
        <v>35.25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5</v>
      </c>
      <c r="AU173" t="s">
        <v>3</v>
      </c>
      <c r="AV173">
        <v>0</v>
      </c>
      <c r="AW173">
        <v>2</v>
      </c>
      <c r="AX173">
        <v>42319865</v>
      </c>
      <c r="AY173">
        <v>1</v>
      </c>
      <c r="AZ173">
        <v>0</v>
      </c>
      <c r="BA173">
        <v>170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Y173*Source!I350</f>
        <v>8.7500000000000008E-2</v>
      </c>
      <c r="CY173">
        <f>AA173</f>
        <v>35.25</v>
      </c>
      <c r="CZ173">
        <f>AE173</f>
        <v>35.25</v>
      </c>
      <c r="DA173">
        <f>AI173</f>
        <v>1</v>
      </c>
      <c r="DB173">
        <f t="shared" si="30"/>
        <v>176.25</v>
      </c>
      <c r="DC173">
        <f t="shared" si="31"/>
        <v>0</v>
      </c>
    </row>
    <row r="174" spans="1:107" x14ac:dyDescent="0.2">
      <c r="A174">
        <f>ROW(Source!A351)</f>
        <v>351</v>
      </c>
      <c r="B174">
        <v>42184655</v>
      </c>
      <c r="C174">
        <v>42319866</v>
      </c>
      <c r="D174">
        <v>40662784</v>
      </c>
      <c r="E174">
        <v>27</v>
      </c>
      <c r="F174">
        <v>1</v>
      </c>
      <c r="G174">
        <v>27</v>
      </c>
      <c r="H174">
        <v>1</v>
      </c>
      <c r="I174" t="s">
        <v>272</v>
      </c>
      <c r="J174" t="s">
        <v>3</v>
      </c>
      <c r="K174" t="s">
        <v>273</v>
      </c>
      <c r="L174">
        <v>1191</v>
      </c>
      <c r="N174">
        <v>1013</v>
      </c>
      <c r="O174" t="s">
        <v>274</v>
      </c>
      <c r="P174" t="s">
        <v>274</v>
      </c>
      <c r="Q174">
        <v>1</v>
      </c>
      <c r="W174">
        <v>0</v>
      </c>
      <c r="X174">
        <v>476480486</v>
      </c>
      <c r="Y174">
        <v>72.959999999999994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72.959999999999994</v>
      </c>
      <c r="AU174" t="s">
        <v>3</v>
      </c>
      <c r="AV174">
        <v>1</v>
      </c>
      <c r="AW174">
        <v>2</v>
      </c>
      <c r="AX174">
        <v>42319872</v>
      </c>
      <c r="AY174">
        <v>1</v>
      </c>
      <c r="AZ174">
        <v>0</v>
      </c>
      <c r="BA174">
        <v>171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Y174*Source!I351</f>
        <v>102.14399999999999</v>
      </c>
      <c r="CY174">
        <f>AD174</f>
        <v>0</v>
      </c>
      <c r="CZ174">
        <f>AH174</f>
        <v>0</v>
      </c>
      <c r="DA174">
        <f>AL174</f>
        <v>1</v>
      </c>
      <c r="DB174">
        <f t="shared" si="30"/>
        <v>0</v>
      </c>
      <c r="DC174">
        <f t="shared" si="31"/>
        <v>0</v>
      </c>
    </row>
    <row r="175" spans="1:107" x14ac:dyDescent="0.2">
      <c r="A175">
        <f>ROW(Source!A351)</f>
        <v>351</v>
      </c>
      <c r="B175">
        <v>42184655</v>
      </c>
      <c r="C175">
        <v>42319866</v>
      </c>
      <c r="D175">
        <v>40679392</v>
      </c>
      <c r="E175">
        <v>1</v>
      </c>
      <c r="F175">
        <v>1</v>
      </c>
      <c r="G175">
        <v>27</v>
      </c>
      <c r="H175">
        <v>2</v>
      </c>
      <c r="I175" t="s">
        <v>327</v>
      </c>
      <c r="J175" t="s">
        <v>328</v>
      </c>
      <c r="K175" t="s">
        <v>329</v>
      </c>
      <c r="L175">
        <v>1368</v>
      </c>
      <c r="N175">
        <v>1011</v>
      </c>
      <c r="O175" t="s">
        <v>278</v>
      </c>
      <c r="P175" t="s">
        <v>278</v>
      </c>
      <c r="Q175">
        <v>1</v>
      </c>
      <c r="W175">
        <v>0</v>
      </c>
      <c r="X175">
        <v>-1309569954</v>
      </c>
      <c r="Y175">
        <v>0.28000000000000003</v>
      </c>
      <c r="AA175">
        <v>0</v>
      </c>
      <c r="AB175">
        <v>683.9</v>
      </c>
      <c r="AC175">
        <v>371.27</v>
      </c>
      <c r="AD175">
        <v>0</v>
      </c>
      <c r="AE175">
        <v>0</v>
      </c>
      <c r="AF175">
        <v>683.9</v>
      </c>
      <c r="AG175">
        <v>371.27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0.28000000000000003</v>
      </c>
      <c r="AU175" t="s">
        <v>3</v>
      </c>
      <c r="AV175">
        <v>0</v>
      </c>
      <c r="AW175">
        <v>2</v>
      </c>
      <c r="AX175">
        <v>42319873</v>
      </c>
      <c r="AY175">
        <v>1</v>
      </c>
      <c r="AZ175">
        <v>0</v>
      </c>
      <c r="BA175">
        <v>172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Y175*Source!I351</f>
        <v>0.39200000000000002</v>
      </c>
      <c r="CY175">
        <f>AB175</f>
        <v>683.9</v>
      </c>
      <c r="CZ175">
        <f>AF175</f>
        <v>683.9</v>
      </c>
      <c r="DA175">
        <f>AJ175</f>
        <v>1</v>
      </c>
      <c r="DB175">
        <f t="shared" si="30"/>
        <v>191.49</v>
      </c>
      <c r="DC175">
        <f t="shared" si="31"/>
        <v>103.96</v>
      </c>
    </row>
    <row r="176" spans="1:107" x14ac:dyDescent="0.2">
      <c r="A176">
        <f>ROW(Source!A351)</f>
        <v>351</v>
      </c>
      <c r="B176">
        <v>42184655</v>
      </c>
      <c r="C176">
        <v>42319866</v>
      </c>
      <c r="D176">
        <v>40683148</v>
      </c>
      <c r="E176">
        <v>1</v>
      </c>
      <c r="F176">
        <v>1</v>
      </c>
      <c r="G176">
        <v>27</v>
      </c>
      <c r="H176">
        <v>3</v>
      </c>
      <c r="I176" t="s">
        <v>330</v>
      </c>
      <c r="J176" t="s">
        <v>331</v>
      </c>
      <c r="K176" t="s">
        <v>332</v>
      </c>
      <c r="L176">
        <v>1339</v>
      </c>
      <c r="N176">
        <v>1007</v>
      </c>
      <c r="O176" t="s">
        <v>38</v>
      </c>
      <c r="P176" t="s">
        <v>38</v>
      </c>
      <c r="Q176">
        <v>1</v>
      </c>
      <c r="W176">
        <v>0</v>
      </c>
      <c r="X176">
        <v>-697630842</v>
      </c>
      <c r="Y176">
        <v>4.8</v>
      </c>
      <c r="AA176">
        <v>3714.73</v>
      </c>
      <c r="AB176">
        <v>0</v>
      </c>
      <c r="AC176">
        <v>0</v>
      </c>
      <c r="AD176">
        <v>0</v>
      </c>
      <c r="AE176">
        <v>3714.73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4.8</v>
      </c>
      <c r="AU176" t="s">
        <v>3</v>
      </c>
      <c r="AV176">
        <v>0</v>
      </c>
      <c r="AW176">
        <v>2</v>
      </c>
      <c r="AX176">
        <v>42319874</v>
      </c>
      <c r="AY176">
        <v>1</v>
      </c>
      <c r="AZ176">
        <v>0</v>
      </c>
      <c r="BA176">
        <v>173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Y176*Source!I351</f>
        <v>6.72</v>
      </c>
      <c r="CY176">
        <f>AA176</f>
        <v>3714.73</v>
      </c>
      <c r="CZ176">
        <f>AE176</f>
        <v>3714.73</v>
      </c>
      <c r="DA176">
        <f>AI176</f>
        <v>1</v>
      </c>
      <c r="DB176">
        <f t="shared" si="30"/>
        <v>17830.7</v>
      </c>
      <c r="DC176">
        <f t="shared" si="31"/>
        <v>0</v>
      </c>
    </row>
    <row r="177" spans="1:107" x14ac:dyDescent="0.2">
      <c r="A177">
        <f>ROW(Source!A351)</f>
        <v>351</v>
      </c>
      <c r="B177">
        <v>42184655</v>
      </c>
      <c r="C177">
        <v>42319866</v>
      </c>
      <c r="D177">
        <v>40683224</v>
      </c>
      <c r="E177">
        <v>1</v>
      </c>
      <c r="F177">
        <v>1</v>
      </c>
      <c r="G177">
        <v>27</v>
      </c>
      <c r="H177">
        <v>3</v>
      </c>
      <c r="I177" t="s">
        <v>333</v>
      </c>
      <c r="J177" t="s">
        <v>334</v>
      </c>
      <c r="K177" t="s">
        <v>335</v>
      </c>
      <c r="L177">
        <v>1339</v>
      </c>
      <c r="N177">
        <v>1007</v>
      </c>
      <c r="O177" t="s">
        <v>38</v>
      </c>
      <c r="P177" t="s">
        <v>38</v>
      </c>
      <c r="Q177">
        <v>1</v>
      </c>
      <c r="W177">
        <v>0</v>
      </c>
      <c r="X177">
        <v>253260963</v>
      </c>
      <c r="Y177">
        <v>0.02</v>
      </c>
      <c r="AA177">
        <v>3392.59</v>
      </c>
      <c r="AB177">
        <v>0</v>
      </c>
      <c r="AC177">
        <v>0</v>
      </c>
      <c r="AD177">
        <v>0</v>
      </c>
      <c r="AE177">
        <v>3392.59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0.02</v>
      </c>
      <c r="AU177" t="s">
        <v>3</v>
      </c>
      <c r="AV177">
        <v>0</v>
      </c>
      <c r="AW177">
        <v>2</v>
      </c>
      <c r="AX177">
        <v>42319875</v>
      </c>
      <c r="AY177">
        <v>1</v>
      </c>
      <c r="AZ177">
        <v>0</v>
      </c>
      <c r="BA177">
        <v>174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Y177*Source!I351</f>
        <v>2.7999999999999997E-2</v>
      </c>
      <c r="CY177">
        <f>AA177</f>
        <v>3392.59</v>
      </c>
      <c r="CZ177">
        <f>AE177</f>
        <v>3392.59</v>
      </c>
      <c r="DA177">
        <f>AI177</f>
        <v>1</v>
      </c>
      <c r="DB177">
        <f t="shared" si="30"/>
        <v>67.849999999999994</v>
      </c>
      <c r="DC177">
        <f t="shared" si="31"/>
        <v>0</v>
      </c>
    </row>
    <row r="178" spans="1:107" x14ac:dyDescent="0.2">
      <c r="A178">
        <f>ROW(Source!A351)</f>
        <v>351</v>
      </c>
      <c r="B178">
        <v>42184655</v>
      </c>
      <c r="C178">
        <v>42319866</v>
      </c>
      <c r="D178">
        <v>40683963</v>
      </c>
      <c r="E178">
        <v>1</v>
      </c>
      <c r="F178">
        <v>1</v>
      </c>
      <c r="G178">
        <v>27</v>
      </c>
      <c r="H178">
        <v>3</v>
      </c>
      <c r="I178" t="s">
        <v>336</v>
      </c>
      <c r="J178" t="s">
        <v>337</v>
      </c>
      <c r="K178" t="s">
        <v>338</v>
      </c>
      <c r="L178">
        <v>1339</v>
      </c>
      <c r="N178">
        <v>1007</v>
      </c>
      <c r="O178" t="s">
        <v>38</v>
      </c>
      <c r="P178" t="s">
        <v>38</v>
      </c>
      <c r="Q178">
        <v>1</v>
      </c>
      <c r="W178">
        <v>0</v>
      </c>
      <c r="X178">
        <v>858864401</v>
      </c>
      <c r="Y178">
        <v>1.6</v>
      </c>
      <c r="AA178">
        <v>9014.9</v>
      </c>
      <c r="AB178">
        <v>0</v>
      </c>
      <c r="AC178">
        <v>0</v>
      </c>
      <c r="AD178">
        <v>0</v>
      </c>
      <c r="AE178">
        <v>9014.9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1.6</v>
      </c>
      <c r="AU178" t="s">
        <v>3</v>
      </c>
      <c r="AV178">
        <v>0</v>
      </c>
      <c r="AW178">
        <v>2</v>
      </c>
      <c r="AX178">
        <v>42319876</v>
      </c>
      <c r="AY178">
        <v>1</v>
      </c>
      <c r="AZ178">
        <v>0</v>
      </c>
      <c r="BA178">
        <v>175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Y178*Source!I351</f>
        <v>2.2399999999999998</v>
      </c>
      <c r="CY178">
        <f>AA178</f>
        <v>9014.9</v>
      </c>
      <c r="CZ178">
        <f>AE178</f>
        <v>9014.9</v>
      </c>
      <c r="DA178">
        <f>AI178</f>
        <v>1</v>
      </c>
      <c r="DB178">
        <f t="shared" si="30"/>
        <v>14423.84</v>
      </c>
      <c r="DC178">
        <f t="shared" si="31"/>
        <v>0</v>
      </c>
    </row>
    <row r="179" spans="1:107" x14ac:dyDescent="0.2">
      <c r="A179">
        <f>ROW(Source!A386)</f>
        <v>386</v>
      </c>
      <c r="B179">
        <v>42184655</v>
      </c>
      <c r="C179">
        <v>42187599</v>
      </c>
      <c r="D179">
        <v>40662784</v>
      </c>
      <c r="E179">
        <v>27</v>
      </c>
      <c r="F179">
        <v>1</v>
      </c>
      <c r="G179">
        <v>27</v>
      </c>
      <c r="H179">
        <v>1</v>
      </c>
      <c r="I179" t="s">
        <v>272</v>
      </c>
      <c r="J179" t="s">
        <v>3</v>
      </c>
      <c r="K179" t="s">
        <v>273</v>
      </c>
      <c r="L179">
        <v>1191</v>
      </c>
      <c r="N179">
        <v>1013</v>
      </c>
      <c r="O179" t="s">
        <v>274</v>
      </c>
      <c r="P179" t="s">
        <v>274</v>
      </c>
      <c r="Q179">
        <v>1</v>
      </c>
      <c r="W179">
        <v>0</v>
      </c>
      <c r="X179">
        <v>476480486</v>
      </c>
      <c r="Y179">
        <v>9.35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9.35</v>
      </c>
      <c r="AU179" t="s">
        <v>3</v>
      </c>
      <c r="AV179">
        <v>1</v>
      </c>
      <c r="AW179">
        <v>2</v>
      </c>
      <c r="AX179">
        <v>42187606</v>
      </c>
      <c r="AY179">
        <v>1</v>
      </c>
      <c r="AZ179">
        <v>0</v>
      </c>
      <c r="BA179">
        <v>176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Y179*Source!I386</f>
        <v>93.5</v>
      </c>
      <c r="CY179">
        <f>AD179</f>
        <v>0</v>
      </c>
      <c r="CZ179">
        <f>AH179</f>
        <v>0</v>
      </c>
      <c r="DA179">
        <f>AL179</f>
        <v>1</v>
      </c>
      <c r="DB179">
        <f t="shared" si="30"/>
        <v>0</v>
      </c>
      <c r="DC179">
        <f t="shared" si="31"/>
        <v>0</v>
      </c>
    </row>
    <row r="180" spans="1:107" x14ac:dyDescent="0.2">
      <c r="A180">
        <f>ROW(Source!A386)</f>
        <v>386</v>
      </c>
      <c r="B180">
        <v>42184655</v>
      </c>
      <c r="C180">
        <v>42187599</v>
      </c>
      <c r="D180">
        <v>40680178</v>
      </c>
      <c r="E180">
        <v>1</v>
      </c>
      <c r="F180">
        <v>1</v>
      </c>
      <c r="G180">
        <v>27</v>
      </c>
      <c r="H180">
        <v>2</v>
      </c>
      <c r="I180" t="s">
        <v>402</v>
      </c>
      <c r="J180" t="s">
        <v>403</v>
      </c>
      <c r="K180" t="s">
        <v>404</v>
      </c>
      <c r="L180">
        <v>1368</v>
      </c>
      <c r="N180">
        <v>1011</v>
      </c>
      <c r="O180" t="s">
        <v>278</v>
      </c>
      <c r="P180" t="s">
        <v>278</v>
      </c>
      <c r="Q180">
        <v>1</v>
      </c>
      <c r="W180">
        <v>0</v>
      </c>
      <c r="X180">
        <v>460622066</v>
      </c>
      <c r="Y180">
        <v>0.09</v>
      </c>
      <c r="AA180">
        <v>0</v>
      </c>
      <c r="AB180">
        <v>9.74</v>
      </c>
      <c r="AC180">
        <v>0.12</v>
      </c>
      <c r="AD180">
        <v>0</v>
      </c>
      <c r="AE180">
        <v>0</v>
      </c>
      <c r="AF180">
        <v>9.74</v>
      </c>
      <c r="AG180">
        <v>0.12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0.09</v>
      </c>
      <c r="AU180" t="s">
        <v>3</v>
      </c>
      <c r="AV180">
        <v>0</v>
      </c>
      <c r="AW180">
        <v>2</v>
      </c>
      <c r="AX180">
        <v>42187607</v>
      </c>
      <c r="AY180">
        <v>1</v>
      </c>
      <c r="AZ180">
        <v>0</v>
      </c>
      <c r="BA180">
        <v>177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Y180*Source!I386</f>
        <v>0.89999999999999991</v>
      </c>
      <c r="CY180">
        <f>AB180</f>
        <v>9.74</v>
      </c>
      <c r="CZ180">
        <f>AF180</f>
        <v>9.74</v>
      </c>
      <c r="DA180">
        <f>AJ180</f>
        <v>1</v>
      </c>
      <c r="DB180">
        <f t="shared" si="30"/>
        <v>0.88</v>
      </c>
      <c r="DC180">
        <f t="shared" si="31"/>
        <v>0.01</v>
      </c>
    </row>
    <row r="181" spans="1:107" x14ac:dyDescent="0.2">
      <c r="A181">
        <f>ROW(Source!A386)</f>
        <v>386</v>
      </c>
      <c r="B181">
        <v>42184655</v>
      </c>
      <c r="C181">
        <v>42187599</v>
      </c>
      <c r="D181">
        <v>40679389</v>
      </c>
      <c r="E181">
        <v>1</v>
      </c>
      <c r="F181">
        <v>1</v>
      </c>
      <c r="G181">
        <v>27</v>
      </c>
      <c r="H181">
        <v>2</v>
      </c>
      <c r="I181" t="s">
        <v>372</v>
      </c>
      <c r="J181" t="s">
        <v>373</v>
      </c>
      <c r="K181" t="s">
        <v>374</v>
      </c>
      <c r="L181">
        <v>1368</v>
      </c>
      <c r="N181">
        <v>1011</v>
      </c>
      <c r="O181" t="s">
        <v>278</v>
      </c>
      <c r="P181" t="s">
        <v>278</v>
      </c>
      <c r="Q181">
        <v>1</v>
      </c>
      <c r="W181">
        <v>0</v>
      </c>
      <c r="X181">
        <v>-929482187</v>
      </c>
      <c r="Y181">
        <v>0.01</v>
      </c>
      <c r="AA181">
        <v>0</v>
      </c>
      <c r="AB181">
        <v>616.73</v>
      </c>
      <c r="AC181">
        <v>511.29</v>
      </c>
      <c r="AD181">
        <v>0</v>
      </c>
      <c r="AE181">
        <v>0</v>
      </c>
      <c r="AF181">
        <v>616.73</v>
      </c>
      <c r="AG181">
        <v>511.29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0.01</v>
      </c>
      <c r="AU181" t="s">
        <v>3</v>
      </c>
      <c r="AV181">
        <v>0</v>
      </c>
      <c r="AW181">
        <v>2</v>
      </c>
      <c r="AX181">
        <v>42187608</v>
      </c>
      <c r="AY181">
        <v>1</v>
      </c>
      <c r="AZ181">
        <v>0</v>
      </c>
      <c r="BA181">
        <v>178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Y181*Source!I386</f>
        <v>0.1</v>
      </c>
      <c r="CY181">
        <f>AB181</f>
        <v>616.73</v>
      </c>
      <c r="CZ181">
        <f>AF181</f>
        <v>616.73</v>
      </c>
      <c r="DA181">
        <f>AJ181</f>
        <v>1</v>
      </c>
      <c r="DB181">
        <f t="shared" si="30"/>
        <v>6.17</v>
      </c>
      <c r="DC181">
        <f t="shared" si="31"/>
        <v>5.1100000000000003</v>
      </c>
    </row>
    <row r="182" spans="1:107" x14ac:dyDescent="0.2">
      <c r="A182">
        <f>ROW(Source!A386)</f>
        <v>386</v>
      </c>
      <c r="B182">
        <v>42184655</v>
      </c>
      <c r="C182">
        <v>42187599</v>
      </c>
      <c r="D182">
        <v>40682698</v>
      </c>
      <c r="E182">
        <v>1</v>
      </c>
      <c r="F182">
        <v>1</v>
      </c>
      <c r="G182">
        <v>27</v>
      </c>
      <c r="H182">
        <v>3</v>
      </c>
      <c r="I182" t="s">
        <v>405</v>
      </c>
      <c r="J182" t="s">
        <v>406</v>
      </c>
      <c r="K182" t="s">
        <v>407</v>
      </c>
      <c r="L182">
        <v>1301</v>
      </c>
      <c r="N182">
        <v>1003</v>
      </c>
      <c r="O182" t="s">
        <v>408</v>
      </c>
      <c r="P182" t="s">
        <v>408</v>
      </c>
      <c r="Q182">
        <v>1</v>
      </c>
      <c r="W182">
        <v>0</v>
      </c>
      <c r="X182">
        <v>1482601448</v>
      </c>
      <c r="Y182">
        <v>24.7</v>
      </c>
      <c r="AA182">
        <v>38.49</v>
      </c>
      <c r="AB182">
        <v>0</v>
      </c>
      <c r="AC182">
        <v>0</v>
      </c>
      <c r="AD182">
        <v>0</v>
      </c>
      <c r="AE182">
        <v>38.49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24.7</v>
      </c>
      <c r="AU182" t="s">
        <v>3</v>
      </c>
      <c r="AV182">
        <v>0</v>
      </c>
      <c r="AW182">
        <v>2</v>
      </c>
      <c r="AX182">
        <v>42187609</v>
      </c>
      <c r="AY182">
        <v>1</v>
      </c>
      <c r="AZ182">
        <v>0</v>
      </c>
      <c r="BA182">
        <v>179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Y182*Source!I386</f>
        <v>247</v>
      </c>
      <c r="CY182">
        <f>AA182</f>
        <v>38.49</v>
      </c>
      <c r="CZ182">
        <f>AE182</f>
        <v>38.49</v>
      </c>
      <c r="DA182">
        <f>AI182</f>
        <v>1</v>
      </c>
      <c r="DB182">
        <f t="shared" si="30"/>
        <v>950.7</v>
      </c>
      <c r="DC182">
        <f t="shared" si="31"/>
        <v>0</v>
      </c>
    </row>
    <row r="183" spans="1:107" x14ac:dyDescent="0.2">
      <c r="A183">
        <f>ROW(Source!A386)</f>
        <v>386</v>
      </c>
      <c r="B183">
        <v>42184655</v>
      </c>
      <c r="C183">
        <v>42187599</v>
      </c>
      <c r="D183">
        <v>40682699</v>
      </c>
      <c r="E183">
        <v>1</v>
      </c>
      <c r="F183">
        <v>1</v>
      </c>
      <c r="G183">
        <v>27</v>
      </c>
      <c r="H183">
        <v>3</v>
      </c>
      <c r="I183" t="s">
        <v>409</v>
      </c>
      <c r="J183" t="s">
        <v>410</v>
      </c>
      <c r="K183" t="s">
        <v>411</v>
      </c>
      <c r="L183">
        <v>1346</v>
      </c>
      <c r="N183">
        <v>1009</v>
      </c>
      <c r="O183" t="s">
        <v>228</v>
      </c>
      <c r="P183" t="s">
        <v>228</v>
      </c>
      <c r="Q183">
        <v>1</v>
      </c>
      <c r="W183">
        <v>0</v>
      </c>
      <c r="X183">
        <v>-1909415643</v>
      </c>
      <c r="Y183">
        <v>4.82</v>
      </c>
      <c r="AA183">
        <v>256.20999999999998</v>
      </c>
      <c r="AB183">
        <v>0</v>
      </c>
      <c r="AC183">
        <v>0</v>
      </c>
      <c r="AD183">
        <v>0</v>
      </c>
      <c r="AE183">
        <v>256.20999999999998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4.82</v>
      </c>
      <c r="AU183" t="s">
        <v>3</v>
      </c>
      <c r="AV183">
        <v>0</v>
      </c>
      <c r="AW183">
        <v>2</v>
      </c>
      <c r="AX183">
        <v>42187610</v>
      </c>
      <c r="AY183">
        <v>1</v>
      </c>
      <c r="AZ183">
        <v>0</v>
      </c>
      <c r="BA183">
        <v>180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Y183*Source!I386</f>
        <v>48.2</v>
      </c>
      <c r="CY183">
        <f>AA183</f>
        <v>256.20999999999998</v>
      </c>
      <c r="CZ183">
        <f>AE183</f>
        <v>256.20999999999998</v>
      </c>
      <c r="DA183">
        <f>AI183</f>
        <v>1</v>
      </c>
      <c r="DB183">
        <f t="shared" si="30"/>
        <v>1234.93</v>
      </c>
      <c r="DC183">
        <f t="shared" si="31"/>
        <v>0</v>
      </c>
    </row>
    <row r="184" spans="1:107" x14ac:dyDescent="0.2">
      <c r="A184">
        <f>ROW(Source!A386)</f>
        <v>386</v>
      </c>
      <c r="B184">
        <v>42184655</v>
      </c>
      <c r="C184">
        <v>42187599</v>
      </c>
      <c r="D184">
        <v>40682700</v>
      </c>
      <c r="E184">
        <v>1</v>
      </c>
      <c r="F184">
        <v>1</v>
      </c>
      <c r="G184">
        <v>27</v>
      </c>
      <c r="H184">
        <v>3</v>
      </c>
      <c r="I184" t="s">
        <v>412</v>
      </c>
      <c r="J184" t="s">
        <v>413</v>
      </c>
      <c r="K184" t="s">
        <v>414</v>
      </c>
      <c r="L184">
        <v>1327</v>
      </c>
      <c r="N184">
        <v>1005</v>
      </c>
      <c r="O184" t="s">
        <v>223</v>
      </c>
      <c r="P184" t="s">
        <v>223</v>
      </c>
      <c r="Q184">
        <v>1</v>
      </c>
      <c r="W184">
        <v>0</v>
      </c>
      <c r="X184">
        <v>178760106</v>
      </c>
      <c r="Y184">
        <v>102</v>
      </c>
      <c r="AA184">
        <v>614.99</v>
      </c>
      <c r="AB184">
        <v>0</v>
      </c>
      <c r="AC184">
        <v>0</v>
      </c>
      <c r="AD184">
        <v>0</v>
      </c>
      <c r="AE184">
        <v>614.99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102</v>
      </c>
      <c r="AU184" t="s">
        <v>3</v>
      </c>
      <c r="AV184">
        <v>0</v>
      </c>
      <c r="AW184">
        <v>2</v>
      </c>
      <c r="AX184">
        <v>42187611</v>
      </c>
      <c r="AY184">
        <v>1</v>
      </c>
      <c r="AZ184">
        <v>0</v>
      </c>
      <c r="BA184">
        <v>181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Y184*Source!I386</f>
        <v>1020</v>
      </c>
      <c r="CY184">
        <f>AA184</f>
        <v>614.99</v>
      </c>
      <c r="CZ184">
        <f>AE184</f>
        <v>614.99</v>
      </c>
      <c r="DA184">
        <f>AI184</f>
        <v>1</v>
      </c>
      <c r="DB184">
        <f t="shared" si="30"/>
        <v>62728.98</v>
      </c>
      <c r="DC184">
        <f t="shared" si="31"/>
        <v>0</v>
      </c>
    </row>
    <row r="185" spans="1:107" x14ac:dyDescent="0.2">
      <c r="A185">
        <f>ROW(Source!A424)</f>
        <v>424</v>
      </c>
      <c r="B185">
        <v>42184655</v>
      </c>
      <c r="C185">
        <v>42187612</v>
      </c>
      <c r="D185">
        <v>40662784</v>
      </c>
      <c r="E185">
        <v>27</v>
      </c>
      <c r="F185">
        <v>1</v>
      </c>
      <c r="G185">
        <v>27</v>
      </c>
      <c r="H185">
        <v>1</v>
      </c>
      <c r="I185" t="s">
        <v>272</v>
      </c>
      <c r="J185" t="s">
        <v>3</v>
      </c>
      <c r="K185" t="s">
        <v>273</v>
      </c>
      <c r="L185">
        <v>1191</v>
      </c>
      <c r="N185">
        <v>1013</v>
      </c>
      <c r="O185" t="s">
        <v>274</v>
      </c>
      <c r="P185" t="s">
        <v>274</v>
      </c>
      <c r="Q185">
        <v>1</v>
      </c>
      <c r="W185">
        <v>0</v>
      </c>
      <c r="X185">
        <v>476480486</v>
      </c>
      <c r="Y185">
        <v>518.48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518.48</v>
      </c>
      <c r="AU185" t="s">
        <v>3</v>
      </c>
      <c r="AV185">
        <v>1</v>
      </c>
      <c r="AW185">
        <v>2</v>
      </c>
      <c r="AX185">
        <v>42187616</v>
      </c>
      <c r="AY185">
        <v>1</v>
      </c>
      <c r="AZ185">
        <v>0</v>
      </c>
      <c r="BA185">
        <v>182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Y185*Source!I424</f>
        <v>321.45760000000001</v>
      </c>
      <c r="CY185">
        <f>AD185</f>
        <v>0</v>
      </c>
      <c r="CZ185">
        <f>AH185</f>
        <v>0</v>
      </c>
      <c r="DA185">
        <f>AL185</f>
        <v>1</v>
      </c>
      <c r="DB185">
        <f t="shared" si="30"/>
        <v>0</v>
      </c>
      <c r="DC185">
        <f t="shared" si="31"/>
        <v>0</v>
      </c>
    </row>
    <row r="186" spans="1:107" x14ac:dyDescent="0.2">
      <c r="A186">
        <f>ROW(Source!A424)</f>
        <v>424</v>
      </c>
      <c r="B186">
        <v>42184655</v>
      </c>
      <c r="C186">
        <v>42187612</v>
      </c>
      <c r="D186">
        <v>40679730</v>
      </c>
      <c r="E186">
        <v>1</v>
      </c>
      <c r="F186">
        <v>1</v>
      </c>
      <c r="G186">
        <v>27</v>
      </c>
      <c r="H186">
        <v>2</v>
      </c>
      <c r="I186" t="s">
        <v>415</v>
      </c>
      <c r="J186" t="s">
        <v>416</v>
      </c>
      <c r="K186" t="s">
        <v>417</v>
      </c>
      <c r="L186">
        <v>1368</v>
      </c>
      <c r="N186">
        <v>1011</v>
      </c>
      <c r="O186" t="s">
        <v>278</v>
      </c>
      <c r="P186" t="s">
        <v>278</v>
      </c>
      <c r="Q186">
        <v>1</v>
      </c>
      <c r="W186">
        <v>0</v>
      </c>
      <c r="X186">
        <v>-1425251094</v>
      </c>
      <c r="Y186">
        <v>3.23</v>
      </c>
      <c r="AA186">
        <v>0</v>
      </c>
      <c r="AB186">
        <v>351.29</v>
      </c>
      <c r="AC186">
        <v>7.02</v>
      </c>
      <c r="AD186">
        <v>0</v>
      </c>
      <c r="AE186">
        <v>0</v>
      </c>
      <c r="AF186">
        <v>351.29</v>
      </c>
      <c r="AG186">
        <v>7.02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3.23</v>
      </c>
      <c r="AU186" t="s">
        <v>3</v>
      </c>
      <c r="AV186">
        <v>0</v>
      </c>
      <c r="AW186">
        <v>2</v>
      </c>
      <c r="AX186">
        <v>42187617</v>
      </c>
      <c r="AY186">
        <v>1</v>
      </c>
      <c r="AZ186">
        <v>0</v>
      </c>
      <c r="BA186">
        <v>183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Y186*Source!I424</f>
        <v>2.0026000000000002</v>
      </c>
      <c r="CY186">
        <f>AB186</f>
        <v>351.29</v>
      </c>
      <c r="CZ186">
        <f>AF186</f>
        <v>351.29</v>
      </c>
      <c r="DA186">
        <f>AJ186</f>
        <v>1</v>
      </c>
      <c r="DB186">
        <f t="shared" si="30"/>
        <v>1134.67</v>
      </c>
      <c r="DC186">
        <f t="shared" si="31"/>
        <v>22.67</v>
      </c>
    </row>
    <row r="187" spans="1:107" x14ac:dyDescent="0.2">
      <c r="A187">
        <f>ROW(Source!A424)</f>
        <v>424</v>
      </c>
      <c r="B187">
        <v>42184655</v>
      </c>
      <c r="C187">
        <v>42187612</v>
      </c>
      <c r="D187">
        <v>40679406</v>
      </c>
      <c r="E187">
        <v>1</v>
      </c>
      <c r="F187">
        <v>1</v>
      </c>
      <c r="G187">
        <v>27</v>
      </c>
      <c r="H187">
        <v>2</v>
      </c>
      <c r="I187" t="s">
        <v>418</v>
      </c>
      <c r="J187" t="s">
        <v>419</v>
      </c>
      <c r="K187" t="s">
        <v>420</v>
      </c>
      <c r="L187">
        <v>1368</v>
      </c>
      <c r="N187">
        <v>1011</v>
      </c>
      <c r="O187" t="s">
        <v>278</v>
      </c>
      <c r="P187" t="s">
        <v>278</v>
      </c>
      <c r="Q187">
        <v>1</v>
      </c>
      <c r="W187">
        <v>0</v>
      </c>
      <c r="X187">
        <v>20585305</v>
      </c>
      <c r="Y187">
        <v>5.88</v>
      </c>
      <c r="AA187">
        <v>0</v>
      </c>
      <c r="AB187">
        <v>16.920000000000002</v>
      </c>
      <c r="AC187">
        <v>0.09</v>
      </c>
      <c r="AD187">
        <v>0</v>
      </c>
      <c r="AE187">
        <v>0</v>
      </c>
      <c r="AF187">
        <v>16.920000000000002</v>
      </c>
      <c r="AG187">
        <v>0.09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5.88</v>
      </c>
      <c r="AU187" t="s">
        <v>3</v>
      </c>
      <c r="AV187">
        <v>0</v>
      </c>
      <c r="AW187">
        <v>2</v>
      </c>
      <c r="AX187">
        <v>42187618</v>
      </c>
      <c r="AY187">
        <v>1</v>
      </c>
      <c r="AZ187">
        <v>0</v>
      </c>
      <c r="BA187">
        <v>184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Y187*Source!I424</f>
        <v>3.6456</v>
      </c>
      <c r="CY187">
        <f>AB187</f>
        <v>16.920000000000002</v>
      </c>
      <c r="CZ187">
        <f>AF187</f>
        <v>16.920000000000002</v>
      </c>
      <c r="DA187">
        <f>AJ187</f>
        <v>1</v>
      </c>
      <c r="DB187">
        <f t="shared" si="30"/>
        <v>99.49</v>
      </c>
      <c r="DC187">
        <f t="shared" si="31"/>
        <v>0.53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42187623</v>
      </c>
      <c r="C1">
        <v>42187619</v>
      </c>
      <c r="D1">
        <v>40662784</v>
      </c>
      <c r="E1">
        <v>27</v>
      </c>
      <c r="F1">
        <v>1</v>
      </c>
      <c r="G1">
        <v>27</v>
      </c>
      <c r="H1">
        <v>1</v>
      </c>
      <c r="I1" t="s">
        <v>272</v>
      </c>
      <c r="J1" t="s">
        <v>3</v>
      </c>
      <c r="K1" t="s">
        <v>273</v>
      </c>
      <c r="L1">
        <v>1191</v>
      </c>
      <c r="N1">
        <v>1013</v>
      </c>
      <c r="O1" t="s">
        <v>274</v>
      </c>
      <c r="P1" t="s">
        <v>274</v>
      </c>
      <c r="Q1">
        <v>1</v>
      </c>
      <c r="X1">
        <v>1.59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1.59</v>
      </c>
      <c r="AH1">
        <v>2</v>
      </c>
      <c r="AI1">
        <v>42187620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42187624</v>
      </c>
      <c r="C2">
        <v>42187619</v>
      </c>
      <c r="D2">
        <v>40679275</v>
      </c>
      <c r="E2">
        <v>1</v>
      </c>
      <c r="F2">
        <v>1</v>
      </c>
      <c r="G2">
        <v>27</v>
      </c>
      <c r="H2">
        <v>2</v>
      </c>
      <c r="I2" t="s">
        <v>275</v>
      </c>
      <c r="J2" t="s">
        <v>276</v>
      </c>
      <c r="K2" t="s">
        <v>277</v>
      </c>
      <c r="L2">
        <v>1368</v>
      </c>
      <c r="N2">
        <v>1011</v>
      </c>
      <c r="O2" t="s">
        <v>278</v>
      </c>
      <c r="P2" t="s">
        <v>278</v>
      </c>
      <c r="Q2">
        <v>1</v>
      </c>
      <c r="X2">
        <v>4.9800000000000004</v>
      </c>
      <c r="Y2">
        <v>0</v>
      </c>
      <c r="Z2">
        <v>1493.72</v>
      </c>
      <c r="AA2">
        <v>566.86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4.9800000000000004</v>
      </c>
      <c r="AH2">
        <v>2</v>
      </c>
      <c r="AI2">
        <v>42187621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42187625</v>
      </c>
      <c r="C3">
        <v>42187619</v>
      </c>
      <c r="D3">
        <v>40679298</v>
      </c>
      <c r="E3">
        <v>1</v>
      </c>
      <c r="F3">
        <v>1</v>
      </c>
      <c r="G3">
        <v>27</v>
      </c>
      <c r="H3">
        <v>2</v>
      </c>
      <c r="I3" t="s">
        <v>279</v>
      </c>
      <c r="J3" t="s">
        <v>280</v>
      </c>
      <c r="K3" t="s">
        <v>281</v>
      </c>
      <c r="L3">
        <v>1368</v>
      </c>
      <c r="N3">
        <v>1011</v>
      </c>
      <c r="O3" t="s">
        <v>278</v>
      </c>
      <c r="P3" t="s">
        <v>278</v>
      </c>
      <c r="Q3">
        <v>1</v>
      </c>
      <c r="X3">
        <v>1.25</v>
      </c>
      <c r="Y3">
        <v>0</v>
      </c>
      <c r="Z3">
        <v>1072.23</v>
      </c>
      <c r="AA3">
        <v>488.73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1.25</v>
      </c>
      <c r="AH3">
        <v>2</v>
      </c>
      <c r="AI3">
        <v>42187622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ROW(Source!A29)</f>
        <v>29</v>
      </c>
      <c r="B4">
        <v>42189258</v>
      </c>
      <c r="C4">
        <v>42189257</v>
      </c>
      <c r="D4">
        <v>40662784</v>
      </c>
      <c r="E4">
        <v>27</v>
      </c>
      <c r="F4">
        <v>1</v>
      </c>
      <c r="G4">
        <v>27</v>
      </c>
      <c r="H4">
        <v>1</v>
      </c>
      <c r="I4" t="s">
        <v>272</v>
      </c>
      <c r="J4" t="s">
        <v>3</v>
      </c>
      <c r="K4" t="s">
        <v>273</v>
      </c>
      <c r="L4">
        <v>1191</v>
      </c>
      <c r="N4">
        <v>1013</v>
      </c>
      <c r="O4" t="s">
        <v>274</v>
      </c>
      <c r="P4" t="s">
        <v>274</v>
      </c>
      <c r="Q4">
        <v>1</v>
      </c>
      <c r="X4">
        <v>221.6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F4" t="s">
        <v>3</v>
      </c>
      <c r="AG4">
        <v>221.6</v>
      </c>
      <c r="AH4">
        <v>2</v>
      </c>
      <c r="AI4">
        <v>42189258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42189268</v>
      </c>
      <c r="C5">
        <v>42189266</v>
      </c>
      <c r="D5">
        <v>40662784</v>
      </c>
      <c r="E5">
        <v>27</v>
      </c>
      <c r="F5">
        <v>1</v>
      </c>
      <c r="G5">
        <v>27</v>
      </c>
      <c r="H5">
        <v>1</v>
      </c>
      <c r="I5" t="s">
        <v>272</v>
      </c>
      <c r="J5" t="s">
        <v>3</v>
      </c>
      <c r="K5" t="s">
        <v>273</v>
      </c>
      <c r="L5">
        <v>1191</v>
      </c>
      <c r="N5">
        <v>1013</v>
      </c>
      <c r="O5" t="s">
        <v>274</v>
      </c>
      <c r="P5" t="s">
        <v>274</v>
      </c>
      <c r="Q5">
        <v>1</v>
      </c>
      <c r="X5">
        <v>83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</v>
      </c>
      <c r="AG5">
        <v>83</v>
      </c>
      <c r="AH5">
        <v>2</v>
      </c>
      <c r="AI5">
        <v>42189267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ROW(Source!A31)</f>
        <v>31</v>
      </c>
      <c r="B6">
        <v>42189271</v>
      </c>
      <c r="C6">
        <v>42189269</v>
      </c>
      <c r="D6">
        <v>40680075</v>
      </c>
      <c r="E6">
        <v>1</v>
      </c>
      <c r="F6">
        <v>1</v>
      </c>
      <c r="G6">
        <v>27</v>
      </c>
      <c r="H6">
        <v>2</v>
      </c>
      <c r="I6" t="s">
        <v>282</v>
      </c>
      <c r="J6" t="s">
        <v>283</v>
      </c>
      <c r="K6" t="s">
        <v>284</v>
      </c>
      <c r="L6">
        <v>1368</v>
      </c>
      <c r="N6">
        <v>1011</v>
      </c>
      <c r="O6" t="s">
        <v>278</v>
      </c>
      <c r="P6" t="s">
        <v>278</v>
      </c>
      <c r="Q6">
        <v>1</v>
      </c>
      <c r="X6">
        <v>3.1E-2</v>
      </c>
      <c r="Y6">
        <v>0</v>
      </c>
      <c r="Z6">
        <v>1014.12</v>
      </c>
      <c r="AA6">
        <v>317.13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3.1E-2</v>
      </c>
      <c r="AH6">
        <v>2</v>
      </c>
      <c r="AI6">
        <v>42189270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ROW(Source!A32)</f>
        <v>32</v>
      </c>
      <c r="B7">
        <v>42187637</v>
      </c>
      <c r="C7">
        <v>42187635</v>
      </c>
      <c r="D7">
        <v>40680075</v>
      </c>
      <c r="E7">
        <v>1</v>
      </c>
      <c r="F7">
        <v>1</v>
      </c>
      <c r="G7">
        <v>27</v>
      </c>
      <c r="H7">
        <v>2</v>
      </c>
      <c r="I7" t="s">
        <v>282</v>
      </c>
      <c r="J7" t="s">
        <v>283</v>
      </c>
      <c r="K7" t="s">
        <v>284</v>
      </c>
      <c r="L7">
        <v>1368</v>
      </c>
      <c r="N7">
        <v>1011</v>
      </c>
      <c r="O7" t="s">
        <v>278</v>
      </c>
      <c r="P7" t="s">
        <v>278</v>
      </c>
      <c r="Q7">
        <v>1</v>
      </c>
      <c r="X7">
        <v>0.01</v>
      </c>
      <c r="Y7">
        <v>0</v>
      </c>
      <c r="Z7">
        <v>1014.12</v>
      </c>
      <c r="AA7">
        <v>317.13</v>
      </c>
      <c r="AB7">
        <v>0</v>
      </c>
      <c r="AC7">
        <v>0</v>
      </c>
      <c r="AD7">
        <v>1</v>
      </c>
      <c r="AE7">
        <v>0</v>
      </c>
      <c r="AF7" t="s">
        <v>45</v>
      </c>
      <c r="AG7">
        <v>0.54</v>
      </c>
      <c r="AH7">
        <v>2</v>
      </c>
      <c r="AI7">
        <v>42187636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ROW(Source!A34)</f>
        <v>34</v>
      </c>
      <c r="B8">
        <v>42319101</v>
      </c>
      <c r="C8">
        <v>42319092</v>
      </c>
      <c r="D8">
        <v>40662784</v>
      </c>
      <c r="E8">
        <v>27</v>
      </c>
      <c r="F8">
        <v>1</v>
      </c>
      <c r="G8">
        <v>27</v>
      </c>
      <c r="H8">
        <v>1</v>
      </c>
      <c r="I8" t="s">
        <v>272</v>
      </c>
      <c r="J8" t="s">
        <v>3</v>
      </c>
      <c r="K8" t="s">
        <v>273</v>
      </c>
      <c r="L8">
        <v>1191</v>
      </c>
      <c r="N8">
        <v>1013</v>
      </c>
      <c r="O8" t="s">
        <v>274</v>
      </c>
      <c r="P8" t="s">
        <v>274</v>
      </c>
      <c r="Q8">
        <v>1</v>
      </c>
      <c r="X8">
        <v>16.559999999999999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3</v>
      </c>
      <c r="AG8">
        <v>16.559999999999999</v>
      </c>
      <c r="AH8">
        <v>2</v>
      </c>
      <c r="AI8">
        <v>42319101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ROW(Source!A34)</f>
        <v>34</v>
      </c>
      <c r="B9">
        <v>42319102</v>
      </c>
      <c r="C9">
        <v>42319092</v>
      </c>
      <c r="D9">
        <v>40679320</v>
      </c>
      <c r="E9">
        <v>1</v>
      </c>
      <c r="F9">
        <v>1</v>
      </c>
      <c r="G9">
        <v>27</v>
      </c>
      <c r="H9">
        <v>2</v>
      </c>
      <c r="I9" t="s">
        <v>285</v>
      </c>
      <c r="J9" t="s">
        <v>286</v>
      </c>
      <c r="K9" t="s">
        <v>287</v>
      </c>
      <c r="L9">
        <v>1368</v>
      </c>
      <c r="N9">
        <v>1011</v>
      </c>
      <c r="O9" t="s">
        <v>278</v>
      </c>
      <c r="P9" t="s">
        <v>278</v>
      </c>
      <c r="Q9">
        <v>1</v>
      </c>
      <c r="X9">
        <v>2.08</v>
      </c>
      <c r="Y9">
        <v>0</v>
      </c>
      <c r="Z9">
        <v>740.94</v>
      </c>
      <c r="AA9">
        <v>413.22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2.08</v>
      </c>
      <c r="AH9">
        <v>2</v>
      </c>
      <c r="AI9">
        <v>42319102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ROW(Source!A34)</f>
        <v>34</v>
      </c>
      <c r="B10">
        <v>42319103</v>
      </c>
      <c r="C10">
        <v>42319092</v>
      </c>
      <c r="D10">
        <v>40679475</v>
      </c>
      <c r="E10">
        <v>1</v>
      </c>
      <c r="F10">
        <v>1</v>
      </c>
      <c r="G10">
        <v>27</v>
      </c>
      <c r="H10">
        <v>2</v>
      </c>
      <c r="I10" t="s">
        <v>288</v>
      </c>
      <c r="J10" t="s">
        <v>289</v>
      </c>
      <c r="K10" t="s">
        <v>290</v>
      </c>
      <c r="L10">
        <v>1368</v>
      </c>
      <c r="N10">
        <v>1011</v>
      </c>
      <c r="O10" t="s">
        <v>278</v>
      </c>
      <c r="P10" t="s">
        <v>278</v>
      </c>
      <c r="Q10">
        <v>1</v>
      </c>
      <c r="X10">
        <v>2.08</v>
      </c>
      <c r="Y10">
        <v>0</v>
      </c>
      <c r="Z10">
        <v>430.32</v>
      </c>
      <c r="AA10">
        <v>215.31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2.08</v>
      </c>
      <c r="AH10">
        <v>2</v>
      </c>
      <c r="AI10">
        <v>42319103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ROW(Source!A34)</f>
        <v>34</v>
      </c>
      <c r="B11">
        <v>42319104</v>
      </c>
      <c r="C11">
        <v>42319092</v>
      </c>
      <c r="D11">
        <v>40679478</v>
      </c>
      <c r="E11">
        <v>1</v>
      </c>
      <c r="F11">
        <v>1</v>
      </c>
      <c r="G11">
        <v>27</v>
      </c>
      <c r="H11">
        <v>2</v>
      </c>
      <c r="I11" t="s">
        <v>291</v>
      </c>
      <c r="J11" t="s">
        <v>292</v>
      </c>
      <c r="K11" t="s">
        <v>293</v>
      </c>
      <c r="L11">
        <v>1368</v>
      </c>
      <c r="N11">
        <v>1011</v>
      </c>
      <c r="O11" t="s">
        <v>278</v>
      </c>
      <c r="P11" t="s">
        <v>278</v>
      </c>
      <c r="Q11">
        <v>1</v>
      </c>
      <c r="X11">
        <v>0.81</v>
      </c>
      <c r="Y11">
        <v>0</v>
      </c>
      <c r="Z11">
        <v>2020.59</v>
      </c>
      <c r="AA11">
        <v>458.56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0.81</v>
      </c>
      <c r="AH11">
        <v>2</v>
      </c>
      <c r="AI11">
        <v>42319104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ROW(Source!A34)</f>
        <v>34</v>
      </c>
      <c r="B12">
        <v>42319105</v>
      </c>
      <c r="C12">
        <v>42319092</v>
      </c>
      <c r="D12">
        <v>40679502</v>
      </c>
      <c r="E12">
        <v>1</v>
      </c>
      <c r="F12">
        <v>1</v>
      </c>
      <c r="G12">
        <v>27</v>
      </c>
      <c r="H12">
        <v>2</v>
      </c>
      <c r="I12" t="s">
        <v>294</v>
      </c>
      <c r="J12" t="s">
        <v>295</v>
      </c>
      <c r="K12" t="s">
        <v>296</v>
      </c>
      <c r="L12">
        <v>1368</v>
      </c>
      <c r="N12">
        <v>1011</v>
      </c>
      <c r="O12" t="s">
        <v>278</v>
      </c>
      <c r="P12" t="s">
        <v>278</v>
      </c>
      <c r="Q12">
        <v>1</v>
      </c>
      <c r="X12">
        <v>1.94</v>
      </c>
      <c r="Y12">
        <v>0</v>
      </c>
      <c r="Z12">
        <v>1412.71</v>
      </c>
      <c r="AA12">
        <v>641.32000000000005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1.94</v>
      </c>
      <c r="AH12">
        <v>2</v>
      </c>
      <c r="AI12">
        <v>42319105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42319106</v>
      </c>
      <c r="C13">
        <v>42319092</v>
      </c>
      <c r="D13">
        <v>40679468</v>
      </c>
      <c r="E13">
        <v>1</v>
      </c>
      <c r="F13">
        <v>1</v>
      </c>
      <c r="G13">
        <v>27</v>
      </c>
      <c r="H13">
        <v>2</v>
      </c>
      <c r="I13" t="s">
        <v>297</v>
      </c>
      <c r="J13" t="s">
        <v>298</v>
      </c>
      <c r="K13" t="s">
        <v>299</v>
      </c>
      <c r="L13">
        <v>1368</v>
      </c>
      <c r="N13">
        <v>1011</v>
      </c>
      <c r="O13" t="s">
        <v>278</v>
      </c>
      <c r="P13" t="s">
        <v>278</v>
      </c>
      <c r="Q13">
        <v>1</v>
      </c>
      <c r="X13">
        <v>0.65</v>
      </c>
      <c r="Y13">
        <v>0</v>
      </c>
      <c r="Z13">
        <v>1213.3399999999999</v>
      </c>
      <c r="AA13">
        <v>461.6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0.65</v>
      </c>
      <c r="AH13">
        <v>2</v>
      </c>
      <c r="AI13">
        <v>42319106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ROW(Source!A34)</f>
        <v>34</v>
      </c>
      <c r="B14">
        <v>42319107</v>
      </c>
      <c r="C14">
        <v>42319092</v>
      </c>
      <c r="D14">
        <v>40681431</v>
      </c>
      <c r="E14">
        <v>1</v>
      </c>
      <c r="F14">
        <v>1</v>
      </c>
      <c r="G14">
        <v>27</v>
      </c>
      <c r="H14">
        <v>3</v>
      </c>
      <c r="I14" t="s">
        <v>300</v>
      </c>
      <c r="J14" t="s">
        <v>301</v>
      </c>
      <c r="K14" t="s">
        <v>302</v>
      </c>
      <c r="L14">
        <v>1339</v>
      </c>
      <c r="N14">
        <v>1007</v>
      </c>
      <c r="O14" t="s">
        <v>38</v>
      </c>
      <c r="P14" t="s">
        <v>38</v>
      </c>
      <c r="Q14">
        <v>1</v>
      </c>
      <c r="X14">
        <v>110</v>
      </c>
      <c r="Y14">
        <v>590.78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110</v>
      </c>
      <c r="AH14">
        <v>2</v>
      </c>
      <c r="AI14">
        <v>42319107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ROW(Source!A34)</f>
        <v>34</v>
      </c>
      <c r="B15">
        <v>42319108</v>
      </c>
      <c r="C15">
        <v>42319092</v>
      </c>
      <c r="D15">
        <v>40682177</v>
      </c>
      <c r="E15">
        <v>1</v>
      </c>
      <c r="F15">
        <v>1</v>
      </c>
      <c r="G15">
        <v>27</v>
      </c>
      <c r="H15">
        <v>3</v>
      </c>
      <c r="I15" t="s">
        <v>303</v>
      </c>
      <c r="J15" t="s">
        <v>304</v>
      </c>
      <c r="K15" t="s">
        <v>305</v>
      </c>
      <c r="L15">
        <v>1339</v>
      </c>
      <c r="N15">
        <v>1007</v>
      </c>
      <c r="O15" t="s">
        <v>38</v>
      </c>
      <c r="P15" t="s">
        <v>38</v>
      </c>
      <c r="Q15">
        <v>1</v>
      </c>
      <c r="X15">
        <v>5</v>
      </c>
      <c r="Y15">
        <v>35.25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5</v>
      </c>
      <c r="AH15">
        <v>2</v>
      </c>
      <c r="AI15">
        <v>42319108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ROW(Source!A35)</f>
        <v>35</v>
      </c>
      <c r="B16">
        <v>42187665</v>
      </c>
      <c r="C16">
        <v>42187655</v>
      </c>
      <c r="D16">
        <v>40662784</v>
      </c>
      <c r="E16">
        <v>27</v>
      </c>
      <c r="F16">
        <v>1</v>
      </c>
      <c r="G16">
        <v>27</v>
      </c>
      <c r="H16">
        <v>1</v>
      </c>
      <c r="I16" t="s">
        <v>272</v>
      </c>
      <c r="J16" t="s">
        <v>3</v>
      </c>
      <c r="K16" t="s">
        <v>273</v>
      </c>
      <c r="L16">
        <v>1191</v>
      </c>
      <c r="N16">
        <v>1013</v>
      </c>
      <c r="O16" t="s">
        <v>274</v>
      </c>
      <c r="P16" t="s">
        <v>274</v>
      </c>
      <c r="Q16">
        <v>1</v>
      </c>
      <c r="X16">
        <v>24.84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1</v>
      </c>
      <c r="AF16" t="s">
        <v>3</v>
      </c>
      <c r="AG16">
        <v>24.84</v>
      </c>
      <c r="AH16">
        <v>2</v>
      </c>
      <c r="AI16">
        <v>42187656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ROW(Source!A35)</f>
        <v>35</v>
      </c>
      <c r="B17">
        <v>42187666</v>
      </c>
      <c r="C17">
        <v>42187655</v>
      </c>
      <c r="D17">
        <v>40679297</v>
      </c>
      <c r="E17">
        <v>1</v>
      </c>
      <c r="F17">
        <v>1</v>
      </c>
      <c r="G17">
        <v>27</v>
      </c>
      <c r="H17">
        <v>2</v>
      </c>
      <c r="I17" t="s">
        <v>306</v>
      </c>
      <c r="J17" t="s">
        <v>307</v>
      </c>
      <c r="K17" t="s">
        <v>308</v>
      </c>
      <c r="L17">
        <v>1368</v>
      </c>
      <c r="N17">
        <v>1011</v>
      </c>
      <c r="O17" t="s">
        <v>278</v>
      </c>
      <c r="P17" t="s">
        <v>278</v>
      </c>
      <c r="Q17">
        <v>1</v>
      </c>
      <c r="X17">
        <v>2.94</v>
      </c>
      <c r="Y17">
        <v>0</v>
      </c>
      <c r="Z17">
        <v>956.79</v>
      </c>
      <c r="AA17">
        <v>359.44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2.94</v>
      </c>
      <c r="AH17">
        <v>2</v>
      </c>
      <c r="AI17">
        <v>42187657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ROW(Source!A35)</f>
        <v>35</v>
      </c>
      <c r="B18">
        <v>42187667</v>
      </c>
      <c r="C18">
        <v>42187655</v>
      </c>
      <c r="D18">
        <v>40679478</v>
      </c>
      <c r="E18">
        <v>1</v>
      </c>
      <c r="F18">
        <v>1</v>
      </c>
      <c r="G18">
        <v>27</v>
      </c>
      <c r="H18">
        <v>2</v>
      </c>
      <c r="I18" t="s">
        <v>291</v>
      </c>
      <c r="J18" t="s">
        <v>292</v>
      </c>
      <c r="K18" t="s">
        <v>293</v>
      </c>
      <c r="L18">
        <v>1368</v>
      </c>
      <c r="N18">
        <v>1011</v>
      </c>
      <c r="O18" t="s">
        <v>278</v>
      </c>
      <c r="P18" t="s">
        <v>278</v>
      </c>
      <c r="Q18">
        <v>1</v>
      </c>
      <c r="X18">
        <v>1.1399999999999999</v>
      </c>
      <c r="Y18">
        <v>0</v>
      </c>
      <c r="Z18">
        <v>2020.59</v>
      </c>
      <c r="AA18">
        <v>458.56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1.1399999999999999</v>
      </c>
      <c r="AH18">
        <v>2</v>
      </c>
      <c r="AI18">
        <v>42187658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ROW(Source!A35)</f>
        <v>35</v>
      </c>
      <c r="B19">
        <v>42187668</v>
      </c>
      <c r="C19">
        <v>42187655</v>
      </c>
      <c r="D19">
        <v>40679463</v>
      </c>
      <c r="E19">
        <v>1</v>
      </c>
      <c r="F19">
        <v>1</v>
      </c>
      <c r="G19">
        <v>27</v>
      </c>
      <c r="H19">
        <v>2</v>
      </c>
      <c r="I19" t="s">
        <v>309</v>
      </c>
      <c r="J19" t="s">
        <v>310</v>
      </c>
      <c r="K19" t="s">
        <v>311</v>
      </c>
      <c r="L19">
        <v>1368</v>
      </c>
      <c r="N19">
        <v>1011</v>
      </c>
      <c r="O19" t="s">
        <v>278</v>
      </c>
      <c r="P19" t="s">
        <v>278</v>
      </c>
      <c r="Q19">
        <v>1</v>
      </c>
      <c r="X19">
        <v>8.9600000000000009</v>
      </c>
      <c r="Y19">
        <v>0</v>
      </c>
      <c r="Z19">
        <v>1261.8699999999999</v>
      </c>
      <c r="AA19">
        <v>530.02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8.9600000000000009</v>
      </c>
      <c r="AH19">
        <v>2</v>
      </c>
      <c r="AI19">
        <v>42187659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ROW(Source!A35)</f>
        <v>35</v>
      </c>
      <c r="B20">
        <v>42187669</v>
      </c>
      <c r="C20">
        <v>42187655</v>
      </c>
      <c r="D20">
        <v>40679464</v>
      </c>
      <c r="E20">
        <v>1</v>
      </c>
      <c r="F20">
        <v>1</v>
      </c>
      <c r="G20">
        <v>27</v>
      </c>
      <c r="H20">
        <v>2</v>
      </c>
      <c r="I20" t="s">
        <v>312</v>
      </c>
      <c r="J20" t="s">
        <v>313</v>
      </c>
      <c r="K20" t="s">
        <v>314</v>
      </c>
      <c r="L20">
        <v>1368</v>
      </c>
      <c r="N20">
        <v>1011</v>
      </c>
      <c r="O20" t="s">
        <v>278</v>
      </c>
      <c r="P20" t="s">
        <v>278</v>
      </c>
      <c r="Q20">
        <v>1</v>
      </c>
      <c r="X20">
        <v>18.25</v>
      </c>
      <c r="Y20">
        <v>0</v>
      </c>
      <c r="Z20">
        <v>1827.95</v>
      </c>
      <c r="AA20">
        <v>720.55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18.25</v>
      </c>
      <c r="AH20">
        <v>2</v>
      </c>
      <c r="AI20">
        <v>42187660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ROW(Source!A35)</f>
        <v>35</v>
      </c>
      <c r="B21">
        <v>42187670</v>
      </c>
      <c r="C21">
        <v>42187655</v>
      </c>
      <c r="D21">
        <v>40679502</v>
      </c>
      <c r="E21">
        <v>1</v>
      </c>
      <c r="F21">
        <v>1</v>
      </c>
      <c r="G21">
        <v>27</v>
      </c>
      <c r="H21">
        <v>2</v>
      </c>
      <c r="I21" t="s">
        <v>294</v>
      </c>
      <c r="J21" t="s">
        <v>295</v>
      </c>
      <c r="K21" t="s">
        <v>296</v>
      </c>
      <c r="L21">
        <v>1368</v>
      </c>
      <c r="N21">
        <v>1011</v>
      </c>
      <c r="O21" t="s">
        <v>278</v>
      </c>
      <c r="P21" t="s">
        <v>278</v>
      </c>
      <c r="Q21">
        <v>1</v>
      </c>
      <c r="X21">
        <v>2.2400000000000002</v>
      </c>
      <c r="Y21">
        <v>0</v>
      </c>
      <c r="Z21">
        <v>1412.71</v>
      </c>
      <c r="AA21">
        <v>641.32000000000005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2.2400000000000002</v>
      </c>
      <c r="AH21">
        <v>2</v>
      </c>
      <c r="AI21">
        <v>42187661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ROW(Source!A35)</f>
        <v>35</v>
      </c>
      <c r="B22">
        <v>42187671</v>
      </c>
      <c r="C22">
        <v>42187655</v>
      </c>
      <c r="D22">
        <v>40679468</v>
      </c>
      <c r="E22">
        <v>1</v>
      </c>
      <c r="F22">
        <v>1</v>
      </c>
      <c r="G22">
        <v>27</v>
      </c>
      <c r="H22">
        <v>2</v>
      </c>
      <c r="I22" t="s">
        <v>297</v>
      </c>
      <c r="J22" t="s">
        <v>298</v>
      </c>
      <c r="K22" t="s">
        <v>299</v>
      </c>
      <c r="L22">
        <v>1368</v>
      </c>
      <c r="N22">
        <v>1011</v>
      </c>
      <c r="O22" t="s">
        <v>278</v>
      </c>
      <c r="P22" t="s">
        <v>278</v>
      </c>
      <c r="Q22">
        <v>1</v>
      </c>
      <c r="X22">
        <v>0.65</v>
      </c>
      <c r="Y22">
        <v>0</v>
      </c>
      <c r="Z22">
        <v>1213.3399999999999</v>
      </c>
      <c r="AA22">
        <v>461.6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0.65</v>
      </c>
      <c r="AH22">
        <v>2</v>
      </c>
      <c r="AI22">
        <v>42187662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ROW(Source!A35)</f>
        <v>35</v>
      </c>
      <c r="B23">
        <v>42187672</v>
      </c>
      <c r="C23">
        <v>42187655</v>
      </c>
      <c r="D23">
        <v>40681457</v>
      </c>
      <c r="E23">
        <v>1</v>
      </c>
      <c r="F23">
        <v>1</v>
      </c>
      <c r="G23">
        <v>27</v>
      </c>
      <c r="H23">
        <v>3</v>
      </c>
      <c r="I23" t="s">
        <v>315</v>
      </c>
      <c r="J23" t="s">
        <v>316</v>
      </c>
      <c r="K23" t="s">
        <v>317</v>
      </c>
      <c r="L23">
        <v>1339</v>
      </c>
      <c r="N23">
        <v>1007</v>
      </c>
      <c r="O23" t="s">
        <v>38</v>
      </c>
      <c r="P23" t="s">
        <v>38</v>
      </c>
      <c r="Q23">
        <v>1</v>
      </c>
      <c r="X23">
        <v>126</v>
      </c>
      <c r="Y23">
        <v>1763.75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126</v>
      </c>
      <c r="AH23">
        <v>2</v>
      </c>
      <c r="AI23">
        <v>42187663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ROW(Source!A35)</f>
        <v>35</v>
      </c>
      <c r="B24">
        <v>42187673</v>
      </c>
      <c r="C24">
        <v>42187655</v>
      </c>
      <c r="D24">
        <v>40682177</v>
      </c>
      <c r="E24">
        <v>1</v>
      </c>
      <c r="F24">
        <v>1</v>
      </c>
      <c r="G24">
        <v>27</v>
      </c>
      <c r="H24">
        <v>3</v>
      </c>
      <c r="I24" t="s">
        <v>303</v>
      </c>
      <c r="J24" t="s">
        <v>304</v>
      </c>
      <c r="K24" t="s">
        <v>305</v>
      </c>
      <c r="L24">
        <v>1339</v>
      </c>
      <c r="N24">
        <v>1007</v>
      </c>
      <c r="O24" t="s">
        <v>38</v>
      </c>
      <c r="P24" t="s">
        <v>38</v>
      </c>
      <c r="Q24">
        <v>1</v>
      </c>
      <c r="X24">
        <v>7</v>
      </c>
      <c r="Y24">
        <v>35.25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7</v>
      </c>
      <c r="AH24">
        <v>2</v>
      </c>
      <c r="AI24">
        <v>42187664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ROW(Source!A36)</f>
        <v>36</v>
      </c>
      <c r="B25">
        <v>42319109</v>
      </c>
      <c r="C25">
        <v>42187674</v>
      </c>
      <c r="D25">
        <v>40662784</v>
      </c>
      <c r="E25">
        <v>27</v>
      </c>
      <c r="F25">
        <v>1</v>
      </c>
      <c r="G25">
        <v>27</v>
      </c>
      <c r="H25">
        <v>1</v>
      </c>
      <c r="I25" t="s">
        <v>272</v>
      </c>
      <c r="J25" t="s">
        <v>3</v>
      </c>
      <c r="K25" t="s">
        <v>273</v>
      </c>
      <c r="L25">
        <v>1191</v>
      </c>
      <c r="N25">
        <v>1013</v>
      </c>
      <c r="O25" t="s">
        <v>274</v>
      </c>
      <c r="P25" t="s">
        <v>274</v>
      </c>
      <c r="Q25">
        <v>1</v>
      </c>
      <c r="X25">
        <v>10.3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 t="s">
        <v>3</v>
      </c>
      <c r="AG25">
        <v>10.3</v>
      </c>
      <c r="AH25">
        <v>2</v>
      </c>
      <c r="AI25">
        <v>42319109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ROW(Source!A36)</f>
        <v>36</v>
      </c>
      <c r="B26">
        <v>42319110</v>
      </c>
      <c r="C26">
        <v>42187674</v>
      </c>
      <c r="D26">
        <v>40679463</v>
      </c>
      <c r="E26">
        <v>1</v>
      </c>
      <c r="F26">
        <v>1</v>
      </c>
      <c r="G26">
        <v>27</v>
      </c>
      <c r="H26">
        <v>2</v>
      </c>
      <c r="I26" t="s">
        <v>309</v>
      </c>
      <c r="J26" t="s">
        <v>310</v>
      </c>
      <c r="K26" t="s">
        <v>311</v>
      </c>
      <c r="L26">
        <v>1368</v>
      </c>
      <c r="N26">
        <v>1011</v>
      </c>
      <c r="O26" t="s">
        <v>278</v>
      </c>
      <c r="P26" t="s">
        <v>278</v>
      </c>
      <c r="Q26">
        <v>1</v>
      </c>
      <c r="X26">
        <v>0.89</v>
      </c>
      <c r="Y26">
        <v>0</v>
      </c>
      <c r="Z26">
        <v>1261.8699999999999</v>
      </c>
      <c r="AA26">
        <v>530.02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0.89</v>
      </c>
      <c r="AH26">
        <v>2</v>
      </c>
      <c r="AI26">
        <v>42319110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ROW(Source!A36)</f>
        <v>36</v>
      </c>
      <c r="B27">
        <v>42319111</v>
      </c>
      <c r="C27">
        <v>42187674</v>
      </c>
      <c r="D27">
        <v>40680270</v>
      </c>
      <c r="E27">
        <v>1</v>
      </c>
      <c r="F27">
        <v>1</v>
      </c>
      <c r="G27">
        <v>27</v>
      </c>
      <c r="H27">
        <v>3</v>
      </c>
      <c r="I27" t="s">
        <v>318</v>
      </c>
      <c r="J27" t="s">
        <v>319</v>
      </c>
      <c r="K27" t="s">
        <v>320</v>
      </c>
      <c r="L27">
        <v>1348</v>
      </c>
      <c r="N27">
        <v>1009</v>
      </c>
      <c r="O27" t="s">
        <v>68</v>
      </c>
      <c r="P27" t="s">
        <v>68</v>
      </c>
      <c r="Q27">
        <v>1000</v>
      </c>
      <c r="X27">
        <v>0.06</v>
      </c>
      <c r="Y27">
        <v>25888.1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0.06</v>
      </c>
      <c r="AH27">
        <v>2</v>
      </c>
      <c r="AI27">
        <v>42319111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ROW(Source!A36)</f>
        <v>36</v>
      </c>
      <c r="B28">
        <v>42319112</v>
      </c>
      <c r="C28">
        <v>42187674</v>
      </c>
      <c r="D28">
        <v>40683377</v>
      </c>
      <c r="E28">
        <v>1</v>
      </c>
      <c r="F28">
        <v>1</v>
      </c>
      <c r="G28">
        <v>27</v>
      </c>
      <c r="H28">
        <v>3</v>
      </c>
      <c r="I28" t="s">
        <v>66</v>
      </c>
      <c r="J28" t="s">
        <v>69</v>
      </c>
      <c r="K28" t="s">
        <v>67</v>
      </c>
      <c r="L28">
        <v>1348</v>
      </c>
      <c r="N28">
        <v>1009</v>
      </c>
      <c r="O28" t="s">
        <v>68</v>
      </c>
      <c r="P28" t="s">
        <v>68</v>
      </c>
      <c r="Q28">
        <v>1000</v>
      </c>
      <c r="X28">
        <v>7.14</v>
      </c>
      <c r="Y28">
        <v>2652.04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7.14</v>
      </c>
      <c r="AH28">
        <v>2</v>
      </c>
      <c r="AI28">
        <v>42319112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ROW(Source!A76)</f>
        <v>76</v>
      </c>
      <c r="B29">
        <v>42187285</v>
      </c>
      <c r="C29">
        <v>42187281</v>
      </c>
      <c r="D29">
        <v>40662784</v>
      </c>
      <c r="E29">
        <v>27</v>
      </c>
      <c r="F29">
        <v>1</v>
      </c>
      <c r="G29">
        <v>27</v>
      </c>
      <c r="H29">
        <v>1</v>
      </c>
      <c r="I29" t="s">
        <v>272</v>
      </c>
      <c r="J29" t="s">
        <v>3</v>
      </c>
      <c r="K29" t="s">
        <v>273</v>
      </c>
      <c r="L29">
        <v>1191</v>
      </c>
      <c r="N29">
        <v>1013</v>
      </c>
      <c r="O29" t="s">
        <v>274</v>
      </c>
      <c r="P29" t="s">
        <v>274</v>
      </c>
      <c r="Q29">
        <v>1</v>
      </c>
      <c r="X29">
        <v>1.59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 t="s">
        <v>3</v>
      </c>
      <c r="AG29">
        <v>1.59</v>
      </c>
      <c r="AH29">
        <v>2</v>
      </c>
      <c r="AI29">
        <v>42187282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ROW(Source!A76)</f>
        <v>76</v>
      </c>
      <c r="B30">
        <v>42187286</v>
      </c>
      <c r="C30">
        <v>42187281</v>
      </c>
      <c r="D30">
        <v>40679275</v>
      </c>
      <c r="E30">
        <v>1</v>
      </c>
      <c r="F30">
        <v>1</v>
      </c>
      <c r="G30">
        <v>27</v>
      </c>
      <c r="H30">
        <v>2</v>
      </c>
      <c r="I30" t="s">
        <v>275</v>
      </c>
      <c r="J30" t="s">
        <v>276</v>
      </c>
      <c r="K30" t="s">
        <v>277</v>
      </c>
      <c r="L30">
        <v>1368</v>
      </c>
      <c r="N30">
        <v>1011</v>
      </c>
      <c r="O30" t="s">
        <v>278</v>
      </c>
      <c r="P30" t="s">
        <v>278</v>
      </c>
      <c r="Q30">
        <v>1</v>
      </c>
      <c r="X30">
        <v>4.9800000000000004</v>
      </c>
      <c r="Y30">
        <v>0</v>
      </c>
      <c r="Z30">
        <v>1493.72</v>
      </c>
      <c r="AA30">
        <v>566.86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4.9800000000000004</v>
      </c>
      <c r="AH30">
        <v>2</v>
      </c>
      <c r="AI30">
        <v>42187283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ROW(Source!A76)</f>
        <v>76</v>
      </c>
      <c r="B31">
        <v>42187287</v>
      </c>
      <c r="C31">
        <v>42187281</v>
      </c>
      <c r="D31">
        <v>40679298</v>
      </c>
      <c r="E31">
        <v>1</v>
      </c>
      <c r="F31">
        <v>1</v>
      </c>
      <c r="G31">
        <v>27</v>
      </c>
      <c r="H31">
        <v>2</v>
      </c>
      <c r="I31" t="s">
        <v>279</v>
      </c>
      <c r="J31" t="s">
        <v>280</v>
      </c>
      <c r="K31" t="s">
        <v>281</v>
      </c>
      <c r="L31">
        <v>1368</v>
      </c>
      <c r="N31">
        <v>1011</v>
      </c>
      <c r="O31" t="s">
        <v>278</v>
      </c>
      <c r="P31" t="s">
        <v>278</v>
      </c>
      <c r="Q31">
        <v>1</v>
      </c>
      <c r="X31">
        <v>1.25</v>
      </c>
      <c r="Y31">
        <v>0</v>
      </c>
      <c r="Z31">
        <v>1072.23</v>
      </c>
      <c r="AA31">
        <v>488.73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1.25</v>
      </c>
      <c r="AH31">
        <v>2</v>
      </c>
      <c r="AI31">
        <v>42187284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ROW(Source!A77)</f>
        <v>77</v>
      </c>
      <c r="B32">
        <v>42187290</v>
      </c>
      <c r="C32">
        <v>42187288</v>
      </c>
      <c r="D32">
        <v>40662784</v>
      </c>
      <c r="E32">
        <v>27</v>
      </c>
      <c r="F32">
        <v>1</v>
      </c>
      <c r="G32">
        <v>27</v>
      </c>
      <c r="H32">
        <v>1</v>
      </c>
      <c r="I32" t="s">
        <v>272</v>
      </c>
      <c r="J32" t="s">
        <v>3</v>
      </c>
      <c r="K32" t="s">
        <v>273</v>
      </c>
      <c r="L32">
        <v>1191</v>
      </c>
      <c r="N32">
        <v>1013</v>
      </c>
      <c r="O32" t="s">
        <v>274</v>
      </c>
      <c r="P32" t="s">
        <v>274</v>
      </c>
      <c r="Q32">
        <v>1</v>
      </c>
      <c r="X32">
        <v>221.6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 t="s">
        <v>3</v>
      </c>
      <c r="AG32">
        <v>221.6</v>
      </c>
      <c r="AH32">
        <v>2</v>
      </c>
      <c r="AI32">
        <v>42187289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ROW(Source!A78)</f>
        <v>78</v>
      </c>
      <c r="B33">
        <v>42187293</v>
      </c>
      <c r="C33">
        <v>42187291</v>
      </c>
      <c r="D33">
        <v>40662784</v>
      </c>
      <c r="E33">
        <v>27</v>
      </c>
      <c r="F33">
        <v>1</v>
      </c>
      <c r="G33">
        <v>27</v>
      </c>
      <c r="H33">
        <v>1</v>
      </c>
      <c r="I33" t="s">
        <v>272</v>
      </c>
      <c r="J33" t="s">
        <v>3</v>
      </c>
      <c r="K33" t="s">
        <v>273</v>
      </c>
      <c r="L33">
        <v>1191</v>
      </c>
      <c r="N33">
        <v>1013</v>
      </c>
      <c r="O33" t="s">
        <v>274</v>
      </c>
      <c r="P33" t="s">
        <v>274</v>
      </c>
      <c r="Q33">
        <v>1</v>
      </c>
      <c r="X33">
        <v>83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1</v>
      </c>
      <c r="AF33" t="s">
        <v>3</v>
      </c>
      <c r="AG33">
        <v>83</v>
      </c>
      <c r="AH33">
        <v>2</v>
      </c>
      <c r="AI33">
        <v>42187292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ROW(Source!A79)</f>
        <v>79</v>
      </c>
      <c r="B34">
        <v>42187296</v>
      </c>
      <c r="C34">
        <v>42187294</v>
      </c>
      <c r="D34">
        <v>40680075</v>
      </c>
      <c r="E34">
        <v>1</v>
      </c>
      <c r="F34">
        <v>1</v>
      </c>
      <c r="G34">
        <v>27</v>
      </c>
      <c r="H34">
        <v>2</v>
      </c>
      <c r="I34" t="s">
        <v>282</v>
      </c>
      <c r="J34" t="s">
        <v>283</v>
      </c>
      <c r="K34" t="s">
        <v>284</v>
      </c>
      <c r="L34">
        <v>1368</v>
      </c>
      <c r="N34">
        <v>1011</v>
      </c>
      <c r="O34" t="s">
        <v>278</v>
      </c>
      <c r="P34" t="s">
        <v>278</v>
      </c>
      <c r="Q34">
        <v>1</v>
      </c>
      <c r="X34">
        <v>3.1E-2</v>
      </c>
      <c r="Y34">
        <v>0</v>
      </c>
      <c r="Z34">
        <v>1014.12</v>
      </c>
      <c r="AA34">
        <v>317.13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3.1E-2</v>
      </c>
      <c r="AH34">
        <v>2</v>
      </c>
      <c r="AI34">
        <v>42187295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ROW(Source!A80)</f>
        <v>80</v>
      </c>
      <c r="B35">
        <v>42187299</v>
      </c>
      <c r="C35">
        <v>42187297</v>
      </c>
      <c r="D35">
        <v>40680075</v>
      </c>
      <c r="E35">
        <v>1</v>
      </c>
      <c r="F35">
        <v>1</v>
      </c>
      <c r="G35">
        <v>27</v>
      </c>
      <c r="H35">
        <v>2</v>
      </c>
      <c r="I35" t="s">
        <v>282</v>
      </c>
      <c r="J35" t="s">
        <v>283</v>
      </c>
      <c r="K35" t="s">
        <v>284</v>
      </c>
      <c r="L35">
        <v>1368</v>
      </c>
      <c r="N35">
        <v>1011</v>
      </c>
      <c r="O35" t="s">
        <v>278</v>
      </c>
      <c r="P35" t="s">
        <v>278</v>
      </c>
      <c r="Q35">
        <v>1</v>
      </c>
      <c r="X35">
        <v>0.01</v>
      </c>
      <c r="Y35">
        <v>0</v>
      </c>
      <c r="Z35">
        <v>1014.12</v>
      </c>
      <c r="AA35">
        <v>317.13</v>
      </c>
      <c r="AB35">
        <v>0</v>
      </c>
      <c r="AC35">
        <v>0</v>
      </c>
      <c r="AD35">
        <v>1</v>
      </c>
      <c r="AE35">
        <v>0</v>
      </c>
      <c r="AF35" t="s">
        <v>45</v>
      </c>
      <c r="AG35">
        <v>0.54</v>
      </c>
      <c r="AH35">
        <v>2</v>
      </c>
      <c r="AI35">
        <v>42187298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ROW(Source!A82)</f>
        <v>82</v>
      </c>
      <c r="B36">
        <v>42187309</v>
      </c>
      <c r="C36">
        <v>42187300</v>
      </c>
      <c r="D36">
        <v>40662784</v>
      </c>
      <c r="E36">
        <v>27</v>
      </c>
      <c r="F36">
        <v>1</v>
      </c>
      <c r="G36">
        <v>27</v>
      </c>
      <c r="H36">
        <v>1</v>
      </c>
      <c r="I36" t="s">
        <v>272</v>
      </c>
      <c r="J36" t="s">
        <v>3</v>
      </c>
      <c r="K36" t="s">
        <v>273</v>
      </c>
      <c r="L36">
        <v>1191</v>
      </c>
      <c r="N36">
        <v>1013</v>
      </c>
      <c r="O36" t="s">
        <v>274</v>
      </c>
      <c r="P36" t="s">
        <v>274</v>
      </c>
      <c r="Q36">
        <v>1</v>
      </c>
      <c r="X36">
        <v>16.559999999999999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1</v>
      </c>
      <c r="AF36" t="s">
        <v>3</v>
      </c>
      <c r="AG36">
        <v>16.559999999999999</v>
      </c>
      <c r="AH36">
        <v>2</v>
      </c>
      <c r="AI36">
        <v>42187301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ROW(Source!A82)</f>
        <v>82</v>
      </c>
      <c r="B37">
        <v>42187310</v>
      </c>
      <c r="C37">
        <v>42187300</v>
      </c>
      <c r="D37">
        <v>40679320</v>
      </c>
      <c r="E37">
        <v>1</v>
      </c>
      <c r="F37">
        <v>1</v>
      </c>
      <c r="G37">
        <v>27</v>
      </c>
      <c r="H37">
        <v>2</v>
      </c>
      <c r="I37" t="s">
        <v>285</v>
      </c>
      <c r="J37" t="s">
        <v>286</v>
      </c>
      <c r="K37" t="s">
        <v>287</v>
      </c>
      <c r="L37">
        <v>1368</v>
      </c>
      <c r="N37">
        <v>1011</v>
      </c>
      <c r="O37" t="s">
        <v>278</v>
      </c>
      <c r="P37" t="s">
        <v>278</v>
      </c>
      <c r="Q37">
        <v>1</v>
      </c>
      <c r="X37">
        <v>2.08</v>
      </c>
      <c r="Y37">
        <v>0</v>
      </c>
      <c r="Z37">
        <v>740.94</v>
      </c>
      <c r="AA37">
        <v>413.22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2.08</v>
      </c>
      <c r="AH37">
        <v>2</v>
      </c>
      <c r="AI37">
        <v>42187302</v>
      </c>
      <c r="AJ37">
        <v>38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ROW(Source!A82)</f>
        <v>82</v>
      </c>
      <c r="B38">
        <v>42187311</v>
      </c>
      <c r="C38">
        <v>42187300</v>
      </c>
      <c r="D38">
        <v>40679475</v>
      </c>
      <c r="E38">
        <v>1</v>
      </c>
      <c r="F38">
        <v>1</v>
      </c>
      <c r="G38">
        <v>27</v>
      </c>
      <c r="H38">
        <v>2</v>
      </c>
      <c r="I38" t="s">
        <v>288</v>
      </c>
      <c r="J38" t="s">
        <v>289</v>
      </c>
      <c r="K38" t="s">
        <v>290</v>
      </c>
      <c r="L38">
        <v>1368</v>
      </c>
      <c r="N38">
        <v>1011</v>
      </c>
      <c r="O38" t="s">
        <v>278</v>
      </c>
      <c r="P38" t="s">
        <v>278</v>
      </c>
      <c r="Q38">
        <v>1</v>
      </c>
      <c r="X38">
        <v>2.08</v>
      </c>
      <c r="Y38">
        <v>0</v>
      </c>
      <c r="Z38">
        <v>430.32</v>
      </c>
      <c r="AA38">
        <v>215.31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2.08</v>
      </c>
      <c r="AH38">
        <v>2</v>
      </c>
      <c r="AI38">
        <v>42187303</v>
      </c>
      <c r="AJ38">
        <v>39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ROW(Source!A82)</f>
        <v>82</v>
      </c>
      <c r="B39">
        <v>42187312</v>
      </c>
      <c r="C39">
        <v>42187300</v>
      </c>
      <c r="D39">
        <v>40679478</v>
      </c>
      <c r="E39">
        <v>1</v>
      </c>
      <c r="F39">
        <v>1</v>
      </c>
      <c r="G39">
        <v>27</v>
      </c>
      <c r="H39">
        <v>2</v>
      </c>
      <c r="I39" t="s">
        <v>291</v>
      </c>
      <c r="J39" t="s">
        <v>292</v>
      </c>
      <c r="K39" t="s">
        <v>293</v>
      </c>
      <c r="L39">
        <v>1368</v>
      </c>
      <c r="N39">
        <v>1011</v>
      </c>
      <c r="O39" t="s">
        <v>278</v>
      </c>
      <c r="P39" t="s">
        <v>278</v>
      </c>
      <c r="Q39">
        <v>1</v>
      </c>
      <c r="X39">
        <v>0.81</v>
      </c>
      <c r="Y39">
        <v>0</v>
      </c>
      <c r="Z39">
        <v>2020.59</v>
      </c>
      <c r="AA39">
        <v>458.56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0.81</v>
      </c>
      <c r="AH39">
        <v>2</v>
      </c>
      <c r="AI39">
        <v>42187304</v>
      </c>
      <c r="AJ39">
        <v>40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ROW(Source!A82)</f>
        <v>82</v>
      </c>
      <c r="B40">
        <v>42187313</v>
      </c>
      <c r="C40">
        <v>42187300</v>
      </c>
      <c r="D40">
        <v>40679502</v>
      </c>
      <c r="E40">
        <v>1</v>
      </c>
      <c r="F40">
        <v>1</v>
      </c>
      <c r="G40">
        <v>27</v>
      </c>
      <c r="H40">
        <v>2</v>
      </c>
      <c r="I40" t="s">
        <v>294</v>
      </c>
      <c r="J40" t="s">
        <v>295</v>
      </c>
      <c r="K40" t="s">
        <v>296</v>
      </c>
      <c r="L40">
        <v>1368</v>
      </c>
      <c r="N40">
        <v>1011</v>
      </c>
      <c r="O40" t="s">
        <v>278</v>
      </c>
      <c r="P40" t="s">
        <v>278</v>
      </c>
      <c r="Q40">
        <v>1</v>
      </c>
      <c r="X40">
        <v>1.94</v>
      </c>
      <c r="Y40">
        <v>0</v>
      </c>
      <c r="Z40">
        <v>1412.71</v>
      </c>
      <c r="AA40">
        <v>641.32000000000005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1.94</v>
      </c>
      <c r="AH40">
        <v>2</v>
      </c>
      <c r="AI40">
        <v>42187305</v>
      </c>
      <c r="AJ40">
        <v>41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ROW(Source!A82)</f>
        <v>82</v>
      </c>
      <c r="B41">
        <v>42187314</v>
      </c>
      <c r="C41">
        <v>42187300</v>
      </c>
      <c r="D41">
        <v>40679468</v>
      </c>
      <c r="E41">
        <v>1</v>
      </c>
      <c r="F41">
        <v>1</v>
      </c>
      <c r="G41">
        <v>27</v>
      </c>
      <c r="H41">
        <v>2</v>
      </c>
      <c r="I41" t="s">
        <v>297</v>
      </c>
      <c r="J41" t="s">
        <v>298</v>
      </c>
      <c r="K41" t="s">
        <v>299</v>
      </c>
      <c r="L41">
        <v>1368</v>
      </c>
      <c r="N41">
        <v>1011</v>
      </c>
      <c r="O41" t="s">
        <v>278</v>
      </c>
      <c r="P41" t="s">
        <v>278</v>
      </c>
      <c r="Q41">
        <v>1</v>
      </c>
      <c r="X41">
        <v>0.65</v>
      </c>
      <c r="Y41">
        <v>0</v>
      </c>
      <c r="Z41">
        <v>1213.3399999999999</v>
      </c>
      <c r="AA41">
        <v>461.6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0.65</v>
      </c>
      <c r="AH41">
        <v>2</v>
      </c>
      <c r="AI41">
        <v>42187306</v>
      </c>
      <c r="AJ41">
        <v>42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ROW(Source!A82)</f>
        <v>82</v>
      </c>
      <c r="B42">
        <v>42187315</v>
      </c>
      <c r="C42">
        <v>42187300</v>
      </c>
      <c r="D42">
        <v>40681431</v>
      </c>
      <c r="E42">
        <v>1</v>
      </c>
      <c r="F42">
        <v>1</v>
      </c>
      <c r="G42">
        <v>27</v>
      </c>
      <c r="H42">
        <v>3</v>
      </c>
      <c r="I42" t="s">
        <v>300</v>
      </c>
      <c r="J42" t="s">
        <v>301</v>
      </c>
      <c r="K42" t="s">
        <v>302</v>
      </c>
      <c r="L42">
        <v>1339</v>
      </c>
      <c r="N42">
        <v>1007</v>
      </c>
      <c r="O42" t="s">
        <v>38</v>
      </c>
      <c r="P42" t="s">
        <v>38</v>
      </c>
      <c r="Q42">
        <v>1</v>
      </c>
      <c r="X42">
        <v>110</v>
      </c>
      <c r="Y42">
        <v>590.78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110</v>
      </c>
      <c r="AH42">
        <v>2</v>
      </c>
      <c r="AI42">
        <v>42187307</v>
      </c>
      <c r="AJ42">
        <v>43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ROW(Source!A82)</f>
        <v>82</v>
      </c>
      <c r="B43">
        <v>42187316</v>
      </c>
      <c r="C43">
        <v>42187300</v>
      </c>
      <c r="D43">
        <v>40682177</v>
      </c>
      <c r="E43">
        <v>1</v>
      </c>
      <c r="F43">
        <v>1</v>
      </c>
      <c r="G43">
        <v>27</v>
      </c>
      <c r="H43">
        <v>3</v>
      </c>
      <c r="I43" t="s">
        <v>303</v>
      </c>
      <c r="J43" t="s">
        <v>304</v>
      </c>
      <c r="K43" t="s">
        <v>305</v>
      </c>
      <c r="L43">
        <v>1339</v>
      </c>
      <c r="N43">
        <v>1007</v>
      </c>
      <c r="O43" t="s">
        <v>38</v>
      </c>
      <c r="P43" t="s">
        <v>38</v>
      </c>
      <c r="Q43">
        <v>1</v>
      </c>
      <c r="X43">
        <v>5</v>
      </c>
      <c r="Y43">
        <v>35.25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5</v>
      </c>
      <c r="AH43">
        <v>2</v>
      </c>
      <c r="AI43">
        <v>42187308</v>
      </c>
      <c r="AJ43">
        <v>44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ROW(Source!A83)</f>
        <v>83</v>
      </c>
      <c r="B44">
        <v>42187327</v>
      </c>
      <c r="C44">
        <v>42187317</v>
      </c>
      <c r="D44">
        <v>40662784</v>
      </c>
      <c r="E44">
        <v>27</v>
      </c>
      <c r="F44">
        <v>1</v>
      </c>
      <c r="G44">
        <v>27</v>
      </c>
      <c r="H44">
        <v>1</v>
      </c>
      <c r="I44" t="s">
        <v>272</v>
      </c>
      <c r="J44" t="s">
        <v>3</v>
      </c>
      <c r="K44" t="s">
        <v>273</v>
      </c>
      <c r="L44">
        <v>1191</v>
      </c>
      <c r="N44">
        <v>1013</v>
      </c>
      <c r="O44" t="s">
        <v>274</v>
      </c>
      <c r="P44" t="s">
        <v>274</v>
      </c>
      <c r="Q44">
        <v>1</v>
      </c>
      <c r="X44">
        <v>24.84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1</v>
      </c>
      <c r="AF44" t="s">
        <v>3</v>
      </c>
      <c r="AG44">
        <v>24.84</v>
      </c>
      <c r="AH44">
        <v>2</v>
      </c>
      <c r="AI44">
        <v>42187318</v>
      </c>
      <c r="AJ44">
        <v>45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ROW(Source!A83)</f>
        <v>83</v>
      </c>
      <c r="B45">
        <v>42187328</v>
      </c>
      <c r="C45">
        <v>42187317</v>
      </c>
      <c r="D45">
        <v>40679297</v>
      </c>
      <c r="E45">
        <v>1</v>
      </c>
      <c r="F45">
        <v>1</v>
      </c>
      <c r="G45">
        <v>27</v>
      </c>
      <c r="H45">
        <v>2</v>
      </c>
      <c r="I45" t="s">
        <v>306</v>
      </c>
      <c r="J45" t="s">
        <v>307</v>
      </c>
      <c r="K45" t="s">
        <v>308</v>
      </c>
      <c r="L45">
        <v>1368</v>
      </c>
      <c r="N45">
        <v>1011</v>
      </c>
      <c r="O45" t="s">
        <v>278</v>
      </c>
      <c r="P45" t="s">
        <v>278</v>
      </c>
      <c r="Q45">
        <v>1</v>
      </c>
      <c r="X45">
        <v>2.94</v>
      </c>
      <c r="Y45">
        <v>0</v>
      </c>
      <c r="Z45">
        <v>956.79</v>
      </c>
      <c r="AA45">
        <v>359.44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2.94</v>
      </c>
      <c r="AH45">
        <v>2</v>
      </c>
      <c r="AI45">
        <v>42187319</v>
      </c>
      <c r="AJ45">
        <v>46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ROW(Source!A83)</f>
        <v>83</v>
      </c>
      <c r="B46">
        <v>42187329</v>
      </c>
      <c r="C46">
        <v>42187317</v>
      </c>
      <c r="D46">
        <v>40679478</v>
      </c>
      <c r="E46">
        <v>1</v>
      </c>
      <c r="F46">
        <v>1</v>
      </c>
      <c r="G46">
        <v>27</v>
      </c>
      <c r="H46">
        <v>2</v>
      </c>
      <c r="I46" t="s">
        <v>291</v>
      </c>
      <c r="J46" t="s">
        <v>292</v>
      </c>
      <c r="K46" t="s">
        <v>293</v>
      </c>
      <c r="L46">
        <v>1368</v>
      </c>
      <c r="N46">
        <v>1011</v>
      </c>
      <c r="O46" t="s">
        <v>278</v>
      </c>
      <c r="P46" t="s">
        <v>278</v>
      </c>
      <c r="Q46">
        <v>1</v>
      </c>
      <c r="X46">
        <v>1.1399999999999999</v>
      </c>
      <c r="Y46">
        <v>0</v>
      </c>
      <c r="Z46">
        <v>2020.59</v>
      </c>
      <c r="AA46">
        <v>458.56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1.1399999999999999</v>
      </c>
      <c r="AH46">
        <v>2</v>
      </c>
      <c r="AI46">
        <v>42187320</v>
      </c>
      <c r="AJ46">
        <v>47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ROW(Source!A83)</f>
        <v>83</v>
      </c>
      <c r="B47">
        <v>42187330</v>
      </c>
      <c r="C47">
        <v>42187317</v>
      </c>
      <c r="D47">
        <v>40679463</v>
      </c>
      <c r="E47">
        <v>1</v>
      </c>
      <c r="F47">
        <v>1</v>
      </c>
      <c r="G47">
        <v>27</v>
      </c>
      <c r="H47">
        <v>2</v>
      </c>
      <c r="I47" t="s">
        <v>309</v>
      </c>
      <c r="J47" t="s">
        <v>310</v>
      </c>
      <c r="K47" t="s">
        <v>311</v>
      </c>
      <c r="L47">
        <v>1368</v>
      </c>
      <c r="N47">
        <v>1011</v>
      </c>
      <c r="O47" t="s">
        <v>278</v>
      </c>
      <c r="P47" t="s">
        <v>278</v>
      </c>
      <c r="Q47">
        <v>1</v>
      </c>
      <c r="X47">
        <v>8.9600000000000009</v>
      </c>
      <c r="Y47">
        <v>0</v>
      </c>
      <c r="Z47">
        <v>1261.8699999999999</v>
      </c>
      <c r="AA47">
        <v>530.02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8.9600000000000009</v>
      </c>
      <c r="AH47">
        <v>2</v>
      </c>
      <c r="AI47">
        <v>42187321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ROW(Source!A83)</f>
        <v>83</v>
      </c>
      <c r="B48">
        <v>42187331</v>
      </c>
      <c r="C48">
        <v>42187317</v>
      </c>
      <c r="D48">
        <v>40679464</v>
      </c>
      <c r="E48">
        <v>1</v>
      </c>
      <c r="F48">
        <v>1</v>
      </c>
      <c r="G48">
        <v>27</v>
      </c>
      <c r="H48">
        <v>2</v>
      </c>
      <c r="I48" t="s">
        <v>312</v>
      </c>
      <c r="J48" t="s">
        <v>313</v>
      </c>
      <c r="K48" t="s">
        <v>314</v>
      </c>
      <c r="L48">
        <v>1368</v>
      </c>
      <c r="N48">
        <v>1011</v>
      </c>
      <c r="O48" t="s">
        <v>278</v>
      </c>
      <c r="P48" t="s">
        <v>278</v>
      </c>
      <c r="Q48">
        <v>1</v>
      </c>
      <c r="X48">
        <v>18.25</v>
      </c>
      <c r="Y48">
        <v>0</v>
      </c>
      <c r="Z48">
        <v>1827.95</v>
      </c>
      <c r="AA48">
        <v>720.55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18.25</v>
      </c>
      <c r="AH48">
        <v>2</v>
      </c>
      <c r="AI48">
        <v>42187322</v>
      </c>
      <c r="AJ48">
        <v>49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ROW(Source!A83)</f>
        <v>83</v>
      </c>
      <c r="B49">
        <v>42187332</v>
      </c>
      <c r="C49">
        <v>42187317</v>
      </c>
      <c r="D49">
        <v>40679502</v>
      </c>
      <c r="E49">
        <v>1</v>
      </c>
      <c r="F49">
        <v>1</v>
      </c>
      <c r="G49">
        <v>27</v>
      </c>
      <c r="H49">
        <v>2</v>
      </c>
      <c r="I49" t="s">
        <v>294</v>
      </c>
      <c r="J49" t="s">
        <v>295</v>
      </c>
      <c r="K49" t="s">
        <v>296</v>
      </c>
      <c r="L49">
        <v>1368</v>
      </c>
      <c r="N49">
        <v>1011</v>
      </c>
      <c r="O49" t="s">
        <v>278</v>
      </c>
      <c r="P49" t="s">
        <v>278</v>
      </c>
      <c r="Q49">
        <v>1</v>
      </c>
      <c r="X49">
        <v>2.2400000000000002</v>
      </c>
      <c r="Y49">
        <v>0</v>
      </c>
      <c r="Z49">
        <v>1412.71</v>
      </c>
      <c r="AA49">
        <v>641.32000000000005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2.2400000000000002</v>
      </c>
      <c r="AH49">
        <v>2</v>
      </c>
      <c r="AI49">
        <v>42187323</v>
      </c>
      <c r="AJ49">
        <v>50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ROW(Source!A83)</f>
        <v>83</v>
      </c>
      <c r="B50">
        <v>42187333</v>
      </c>
      <c r="C50">
        <v>42187317</v>
      </c>
      <c r="D50">
        <v>40679468</v>
      </c>
      <c r="E50">
        <v>1</v>
      </c>
      <c r="F50">
        <v>1</v>
      </c>
      <c r="G50">
        <v>27</v>
      </c>
      <c r="H50">
        <v>2</v>
      </c>
      <c r="I50" t="s">
        <v>297</v>
      </c>
      <c r="J50" t="s">
        <v>298</v>
      </c>
      <c r="K50" t="s">
        <v>299</v>
      </c>
      <c r="L50">
        <v>1368</v>
      </c>
      <c r="N50">
        <v>1011</v>
      </c>
      <c r="O50" t="s">
        <v>278</v>
      </c>
      <c r="P50" t="s">
        <v>278</v>
      </c>
      <c r="Q50">
        <v>1</v>
      </c>
      <c r="X50">
        <v>0.65</v>
      </c>
      <c r="Y50">
        <v>0</v>
      </c>
      <c r="Z50">
        <v>1213.3399999999999</v>
      </c>
      <c r="AA50">
        <v>461.6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0.65</v>
      </c>
      <c r="AH50">
        <v>2</v>
      </c>
      <c r="AI50">
        <v>42187324</v>
      </c>
      <c r="AJ50">
        <v>51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ROW(Source!A83)</f>
        <v>83</v>
      </c>
      <c r="B51">
        <v>42187334</v>
      </c>
      <c r="C51">
        <v>42187317</v>
      </c>
      <c r="D51">
        <v>40681457</v>
      </c>
      <c r="E51">
        <v>1</v>
      </c>
      <c r="F51">
        <v>1</v>
      </c>
      <c r="G51">
        <v>27</v>
      </c>
      <c r="H51">
        <v>3</v>
      </c>
      <c r="I51" t="s">
        <v>315</v>
      </c>
      <c r="J51" t="s">
        <v>316</v>
      </c>
      <c r="K51" t="s">
        <v>317</v>
      </c>
      <c r="L51">
        <v>1339</v>
      </c>
      <c r="N51">
        <v>1007</v>
      </c>
      <c r="O51" t="s">
        <v>38</v>
      </c>
      <c r="P51" t="s">
        <v>38</v>
      </c>
      <c r="Q51">
        <v>1</v>
      </c>
      <c r="X51">
        <v>126</v>
      </c>
      <c r="Y51">
        <v>1763.75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126</v>
      </c>
      <c r="AH51">
        <v>2</v>
      </c>
      <c r="AI51">
        <v>42187325</v>
      </c>
      <c r="AJ51">
        <v>52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ROW(Source!A83)</f>
        <v>83</v>
      </c>
      <c r="B52">
        <v>42187335</v>
      </c>
      <c r="C52">
        <v>42187317</v>
      </c>
      <c r="D52">
        <v>40682177</v>
      </c>
      <c r="E52">
        <v>1</v>
      </c>
      <c r="F52">
        <v>1</v>
      </c>
      <c r="G52">
        <v>27</v>
      </c>
      <c r="H52">
        <v>3</v>
      </c>
      <c r="I52" t="s">
        <v>303</v>
      </c>
      <c r="J52" t="s">
        <v>304</v>
      </c>
      <c r="K52" t="s">
        <v>305</v>
      </c>
      <c r="L52">
        <v>1339</v>
      </c>
      <c r="N52">
        <v>1007</v>
      </c>
      <c r="O52" t="s">
        <v>38</v>
      </c>
      <c r="P52" t="s">
        <v>38</v>
      </c>
      <c r="Q52">
        <v>1</v>
      </c>
      <c r="X52">
        <v>7</v>
      </c>
      <c r="Y52">
        <v>35.25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7</v>
      </c>
      <c r="AH52">
        <v>2</v>
      </c>
      <c r="AI52">
        <v>42187326</v>
      </c>
      <c r="AJ52">
        <v>53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ROW(Source!A84)</f>
        <v>84</v>
      </c>
      <c r="B53">
        <v>42187342</v>
      </c>
      <c r="C53">
        <v>42187336</v>
      </c>
      <c r="D53">
        <v>40662784</v>
      </c>
      <c r="E53">
        <v>27</v>
      </c>
      <c r="F53">
        <v>1</v>
      </c>
      <c r="G53">
        <v>27</v>
      </c>
      <c r="H53">
        <v>1</v>
      </c>
      <c r="I53" t="s">
        <v>272</v>
      </c>
      <c r="J53" t="s">
        <v>3</v>
      </c>
      <c r="K53" t="s">
        <v>273</v>
      </c>
      <c r="L53">
        <v>1191</v>
      </c>
      <c r="N53">
        <v>1013</v>
      </c>
      <c r="O53" t="s">
        <v>274</v>
      </c>
      <c r="P53" t="s">
        <v>274</v>
      </c>
      <c r="Q53">
        <v>1</v>
      </c>
      <c r="X53">
        <v>10.3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3</v>
      </c>
      <c r="AG53">
        <v>10.3</v>
      </c>
      <c r="AH53">
        <v>2</v>
      </c>
      <c r="AI53">
        <v>42187337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ROW(Source!A84)</f>
        <v>84</v>
      </c>
      <c r="B54">
        <v>42187343</v>
      </c>
      <c r="C54">
        <v>42187336</v>
      </c>
      <c r="D54">
        <v>40679463</v>
      </c>
      <c r="E54">
        <v>1</v>
      </c>
      <c r="F54">
        <v>1</v>
      </c>
      <c r="G54">
        <v>27</v>
      </c>
      <c r="H54">
        <v>2</v>
      </c>
      <c r="I54" t="s">
        <v>309</v>
      </c>
      <c r="J54" t="s">
        <v>310</v>
      </c>
      <c r="K54" t="s">
        <v>311</v>
      </c>
      <c r="L54">
        <v>1368</v>
      </c>
      <c r="N54">
        <v>1011</v>
      </c>
      <c r="O54" t="s">
        <v>278</v>
      </c>
      <c r="P54" t="s">
        <v>278</v>
      </c>
      <c r="Q54">
        <v>1</v>
      </c>
      <c r="X54">
        <v>0.89</v>
      </c>
      <c r="Y54">
        <v>0</v>
      </c>
      <c r="Z54">
        <v>1261.8699999999999</v>
      </c>
      <c r="AA54">
        <v>530.02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0.89</v>
      </c>
      <c r="AH54">
        <v>2</v>
      </c>
      <c r="AI54">
        <v>42187338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ROW(Source!A84)</f>
        <v>84</v>
      </c>
      <c r="B55">
        <v>42187344</v>
      </c>
      <c r="C55">
        <v>42187336</v>
      </c>
      <c r="D55">
        <v>40680270</v>
      </c>
      <c r="E55">
        <v>1</v>
      </c>
      <c r="F55">
        <v>1</v>
      </c>
      <c r="G55">
        <v>27</v>
      </c>
      <c r="H55">
        <v>3</v>
      </c>
      <c r="I55" t="s">
        <v>318</v>
      </c>
      <c r="J55" t="s">
        <v>319</v>
      </c>
      <c r="K55" t="s">
        <v>320</v>
      </c>
      <c r="L55">
        <v>1348</v>
      </c>
      <c r="N55">
        <v>1009</v>
      </c>
      <c r="O55" t="s">
        <v>68</v>
      </c>
      <c r="P55" t="s">
        <v>68</v>
      </c>
      <c r="Q55">
        <v>1000</v>
      </c>
      <c r="X55">
        <v>0.06</v>
      </c>
      <c r="Y55">
        <v>25888.1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0.06</v>
      </c>
      <c r="AH55">
        <v>2</v>
      </c>
      <c r="AI55">
        <v>42187339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ROW(Source!A84)</f>
        <v>84</v>
      </c>
      <c r="B56">
        <v>42187345</v>
      </c>
      <c r="C56">
        <v>42187336</v>
      </c>
      <c r="D56">
        <v>40683377</v>
      </c>
      <c r="E56">
        <v>1</v>
      </c>
      <c r="F56">
        <v>1</v>
      </c>
      <c r="G56">
        <v>27</v>
      </c>
      <c r="H56">
        <v>3</v>
      </c>
      <c r="I56" t="s">
        <v>66</v>
      </c>
      <c r="J56" t="s">
        <v>69</v>
      </c>
      <c r="K56" t="s">
        <v>67</v>
      </c>
      <c r="L56">
        <v>1348</v>
      </c>
      <c r="N56">
        <v>1009</v>
      </c>
      <c r="O56" t="s">
        <v>68</v>
      </c>
      <c r="P56" t="s">
        <v>68</v>
      </c>
      <c r="Q56">
        <v>1000</v>
      </c>
      <c r="X56">
        <v>7.14</v>
      </c>
      <c r="Y56">
        <v>2652.04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7.14</v>
      </c>
      <c r="AH56">
        <v>2</v>
      </c>
      <c r="AI56">
        <v>42187340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ROW(Source!A124)</f>
        <v>124</v>
      </c>
      <c r="B57">
        <v>42186865</v>
      </c>
      <c r="C57">
        <v>42186859</v>
      </c>
      <c r="D57">
        <v>40662784</v>
      </c>
      <c r="E57">
        <v>27</v>
      </c>
      <c r="F57">
        <v>1</v>
      </c>
      <c r="G57">
        <v>27</v>
      </c>
      <c r="H57">
        <v>1</v>
      </c>
      <c r="I57" t="s">
        <v>272</v>
      </c>
      <c r="J57" t="s">
        <v>3</v>
      </c>
      <c r="K57" t="s">
        <v>273</v>
      </c>
      <c r="L57">
        <v>1191</v>
      </c>
      <c r="N57">
        <v>1013</v>
      </c>
      <c r="O57" t="s">
        <v>274</v>
      </c>
      <c r="P57" t="s">
        <v>274</v>
      </c>
      <c r="Q57">
        <v>1</v>
      </c>
      <c r="X57">
        <v>76.7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1</v>
      </c>
      <c r="AF57" t="s">
        <v>3</v>
      </c>
      <c r="AG57">
        <v>76.7</v>
      </c>
      <c r="AH57">
        <v>2</v>
      </c>
      <c r="AI57">
        <v>42186862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ROW(Source!A125)</f>
        <v>125</v>
      </c>
      <c r="B58">
        <v>42319714</v>
      </c>
      <c r="C58">
        <v>42319713</v>
      </c>
      <c r="D58">
        <v>40662784</v>
      </c>
      <c r="E58">
        <v>27</v>
      </c>
      <c r="F58">
        <v>1</v>
      </c>
      <c r="G58">
        <v>27</v>
      </c>
      <c r="H58">
        <v>1</v>
      </c>
      <c r="I58" t="s">
        <v>272</v>
      </c>
      <c r="J58" t="s">
        <v>3</v>
      </c>
      <c r="K58" t="s">
        <v>273</v>
      </c>
      <c r="L58">
        <v>1191</v>
      </c>
      <c r="N58">
        <v>1013</v>
      </c>
      <c r="O58" t="s">
        <v>274</v>
      </c>
      <c r="P58" t="s">
        <v>274</v>
      </c>
      <c r="Q58">
        <v>1</v>
      </c>
      <c r="X58">
        <v>1.02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1</v>
      </c>
      <c r="AF58" t="s">
        <v>3</v>
      </c>
      <c r="AG58">
        <v>1.02</v>
      </c>
      <c r="AH58">
        <v>2</v>
      </c>
      <c r="AI58">
        <v>42319714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ROW(Source!A126)</f>
        <v>126</v>
      </c>
      <c r="B59">
        <v>42186872</v>
      </c>
      <c r="C59">
        <v>42186866</v>
      </c>
      <c r="D59">
        <v>40679276</v>
      </c>
      <c r="E59">
        <v>1</v>
      </c>
      <c r="F59">
        <v>1</v>
      </c>
      <c r="G59">
        <v>27</v>
      </c>
      <c r="H59">
        <v>2</v>
      </c>
      <c r="I59" t="s">
        <v>321</v>
      </c>
      <c r="J59" t="s">
        <v>322</v>
      </c>
      <c r="K59" t="s">
        <v>323</v>
      </c>
      <c r="L59">
        <v>1368</v>
      </c>
      <c r="N59">
        <v>1011</v>
      </c>
      <c r="O59" t="s">
        <v>278</v>
      </c>
      <c r="P59" t="s">
        <v>278</v>
      </c>
      <c r="Q59">
        <v>1</v>
      </c>
      <c r="X59">
        <v>5.3699999999999998E-2</v>
      </c>
      <c r="Y59">
        <v>0</v>
      </c>
      <c r="Z59">
        <v>1494.43</v>
      </c>
      <c r="AA59">
        <v>481.21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5.3699999999999998E-2</v>
      </c>
      <c r="AH59">
        <v>2</v>
      </c>
      <c r="AI59">
        <v>42186869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ROW(Source!A127)</f>
        <v>127</v>
      </c>
      <c r="B60">
        <v>42319716</v>
      </c>
      <c r="C60">
        <v>42319715</v>
      </c>
      <c r="D60">
        <v>40680074</v>
      </c>
      <c r="E60">
        <v>1</v>
      </c>
      <c r="F60">
        <v>1</v>
      </c>
      <c r="G60">
        <v>27</v>
      </c>
      <c r="H60">
        <v>2</v>
      </c>
      <c r="I60" t="s">
        <v>324</v>
      </c>
      <c r="J60" t="s">
        <v>325</v>
      </c>
      <c r="K60" t="s">
        <v>326</v>
      </c>
      <c r="L60">
        <v>1368</v>
      </c>
      <c r="N60">
        <v>1011</v>
      </c>
      <c r="O60" t="s">
        <v>278</v>
      </c>
      <c r="P60" t="s">
        <v>278</v>
      </c>
      <c r="Q60">
        <v>1</v>
      </c>
      <c r="X60">
        <v>5.3999999999999999E-2</v>
      </c>
      <c r="Y60">
        <v>0</v>
      </c>
      <c r="Z60">
        <v>1009.4</v>
      </c>
      <c r="AA60">
        <v>316.82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5.3999999999999999E-2</v>
      </c>
      <c r="AH60">
        <v>2</v>
      </c>
      <c r="AI60">
        <v>42319716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ROW(Source!A127)</f>
        <v>127</v>
      </c>
      <c r="B61">
        <v>42319717</v>
      </c>
      <c r="C61">
        <v>42319715</v>
      </c>
      <c r="D61">
        <v>40680075</v>
      </c>
      <c r="E61">
        <v>1</v>
      </c>
      <c r="F61">
        <v>1</v>
      </c>
      <c r="G61">
        <v>27</v>
      </c>
      <c r="H61">
        <v>2</v>
      </c>
      <c r="I61" t="s">
        <v>282</v>
      </c>
      <c r="J61" t="s">
        <v>283</v>
      </c>
      <c r="K61" t="s">
        <v>284</v>
      </c>
      <c r="L61">
        <v>1368</v>
      </c>
      <c r="N61">
        <v>1011</v>
      </c>
      <c r="O61" t="s">
        <v>278</v>
      </c>
      <c r="P61" t="s">
        <v>278</v>
      </c>
      <c r="Q61">
        <v>1</v>
      </c>
      <c r="X61">
        <v>5.5E-2</v>
      </c>
      <c r="Y61">
        <v>0</v>
      </c>
      <c r="Z61">
        <v>1014.12</v>
      </c>
      <c r="AA61">
        <v>317.13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5.5E-2</v>
      </c>
      <c r="AH61">
        <v>2</v>
      </c>
      <c r="AI61">
        <v>42319717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ROW(Source!A128)</f>
        <v>128</v>
      </c>
      <c r="B62">
        <v>42186884</v>
      </c>
      <c r="C62">
        <v>42186873</v>
      </c>
      <c r="D62">
        <v>40680074</v>
      </c>
      <c r="E62">
        <v>1</v>
      </c>
      <c r="F62">
        <v>1</v>
      </c>
      <c r="G62">
        <v>27</v>
      </c>
      <c r="H62">
        <v>2</v>
      </c>
      <c r="I62" t="s">
        <v>324</v>
      </c>
      <c r="J62" t="s">
        <v>325</v>
      </c>
      <c r="K62" t="s">
        <v>326</v>
      </c>
      <c r="L62">
        <v>1368</v>
      </c>
      <c r="N62">
        <v>1011</v>
      </c>
      <c r="O62" t="s">
        <v>278</v>
      </c>
      <c r="P62" t="s">
        <v>278</v>
      </c>
      <c r="Q62">
        <v>1</v>
      </c>
      <c r="X62">
        <v>0.02</v>
      </c>
      <c r="Y62">
        <v>0</v>
      </c>
      <c r="Z62">
        <v>1009.4</v>
      </c>
      <c r="AA62">
        <v>316.82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0.02</v>
      </c>
      <c r="AH62">
        <v>2</v>
      </c>
      <c r="AI62">
        <v>42186878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ROW(Source!A128)</f>
        <v>128</v>
      </c>
      <c r="B63">
        <v>42186885</v>
      </c>
      <c r="C63">
        <v>42186873</v>
      </c>
      <c r="D63">
        <v>40680075</v>
      </c>
      <c r="E63">
        <v>1</v>
      </c>
      <c r="F63">
        <v>1</v>
      </c>
      <c r="G63">
        <v>27</v>
      </c>
      <c r="H63">
        <v>2</v>
      </c>
      <c r="I63" t="s">
        <v>282</v>
      </c>
      <c r="J63" t="s">
        <v>283</v>
      </c>
      <c r="K63" t="s">
        <v>284</v>
      </c>
      <c r="L63">
        <v>1368</v>
      </c>
      <c r="N63">
        <v>1011</v>
      </c>
      <c r="O63" t="s">
        <v>278</v>
      </c>
      <c r="P63" t="s">
        <v>278</v>
      </c>
      <c r="Q63">
        <v>1</v>
      </c>
      <c r="X63">
        <v>1.7999999999999999E-2</v>
      </c>
      <c r="Y63">
        <v>0</v>
      </c>
      <c r="Z63">
        <v>1014.12</v>
      </c>
      <c r="AA63">
        <v>317.13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1.7999999999999999E-2</v>
      </c>
      <c r="AH63">
        <v>2</v>
      </c>
      <c r="AI63">
        <v>42186879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ROW(Source!A129)</f>
        <v>129</v>
      </c>
      <c r="B64">
        <v>42186897</v>
      </c>
      <c r="C64">
        <v>42186886</v>
      </c>
      <c r="D64">
        <v>40680074</v>
      </c>
      <c r="E64">
        <v>1</v>
      </c>
      <c r="F64">
        <v>1</v>
      </c>
      <c r="G64">
        <v>27</v>
      </c>
      <c r="H64">
        <v>2</v>
      </c>
      <c r="I64" t="s">
        <v>324</v>
      </c>
      <c r="J64" t="s">
        <v>325</v>
      </c>
      <c r="K64" t="s">
        <v>326</v>
      </c>
      <c r="L64">
        <v>1368</v>
      </c>
      <c r="N64">
        <v>1011</v>
      </c>
      <c r="O64" t="s">
        <v>278</v>
      </c>
      <c r="P64" t="s">
        <v>278</v>
      </c>
      <c r="Q64">
        <v>1</v>
      </c>
      <c r="X64">
        <v>0.01</v>
      </c>
      <c r="Y64">
        <v>0</v>
      </c>
      <c r="Z64">
        <v>1009.4</v>
      </c>
      <c r="AA64">
        <v>316.82</v>
      </c>
      <c r="AB64">
        <v>0</v>
      </c>
      <c r="AC64">
        <v>0</v>
      </c>
      <c r="AD64">
        <v>1</v>
      </c>
      <c r="AE64">
        <v>0</v>
      </c>
      <c r="AF64" t="s">
        <v>165</v>
      </c>
      <c r="AG64">
        <v>0.51</v>
      </c>
      <c r="AH64">
        <v>2</v>
      </c>
      <c r="AI64">
        <v>42186891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ROW(Source!A129)</f>
        <v>129</v>
      </c>
      <c r="B65">
        <v>42186898</v>
      </c>
      <c r="C65">
        <v>42186886</v>
      </c>
      <c r="D65">
        <v>40680075</v>
      </c>
      <c r="E65">
        <v>1</v>
      </c>
      <c r="F65">
        <v>1</v>
      </c>
      <c r="G65">
        <v>27</v>
      </c>
      <c r="H65">
        <v>2</v>
      </c>
      <c r="I65" t="s">
        <v>282</v>
      </c>
      <c r="J65" t="s">
        <v>283</v>
      </c>
      <c r="K65" t="s">
        <v>284</v>
      </c>
      <c r="L65">
        <v>1368</v>
      </c>
      <c r="N65">
        <v>1011</v>
      </c>
      <c r="O65" t="s">
        <v>278</v>
      </c>
      <c r="P65" t="s">
        <v>278</v>
      </c>
      <c r="Q65">
        <v>1</v>
      </c>
      <c r="X65">
        <v>8.0000000000000002E-3</v>
      </c>
      <c r="Y65">
        <v>0</v>
      </c>
      <c r="Z65">
        <v>1014.12</v>
      </c>
      <c r="AA65">
        <v>317.13</v>
      </c>
      <c r="AB65">
        <v>0</v>
      </c>
      <c r="AC65">
        <v>0</v>
      </c>
      <c r="AD65">
        <v>1</v>
      </c>
      <c r="AE65">
        <v>0</v>
      </c>
      <c r="AF65" t="s">
        <v>165</v>
      </c>
      <c r="AG65">
        <v>0.40800000000000003</v>
      </c>
      <c r="AH65">
        <v>2</v>
      </c>
      <c r="AI65">
        <v>42186892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ROW(Source!A131)</f>
        <v>131</v>
      </c>
      <c r="B66">
        <v>42319730</v>
      </c>
      <c r="C66">
        <v>42319721</v>
      </c>
      <c r="D66">
        <v>40662784</v>
      </c>
      <c r="E66">
        <v>27</v>
      </c>
      <c r="F66">
        <v>1</v>
      </c>
      <c r="G66">
        <v>27</v>
      </c>
      <c r="H66">
        <v>1</v>
      </c>
      <c r="I66" t="s">
        <v>272</v>
      </c>
      <c r="J66" t="s">
        <v>3</v>
      </c>
      <c r="K66" t="s">
        <v>273</v>
      </c>
      <c r="L66">
        <v>1191</v>
      </c>
      <c r="N66">
        <v>1013</v>
      </c>
      <c r="O66" t="s">
        <v>274</v>
      </c>
      <c r="P66" t="s">
        <v>274</v>
      </c>
      <c r="Q66">
        <v>1</v>
      </c>
      <c r="X66">
        <v>16.559999999999999</v>
      </c>
      <c r="Y66">
        <v>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1</v>
      </c>
      <c r="AF66" t="s">
        <v>3</v>
      </c>
      <c r="AG66">
        <v>16.559999999999999</v>
      </c>
      <c r="AH66">
        <v>2</v>
      </c>
      <c r="AI66">
        <v>42319722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ROW(Source!A131)</f>
        <v>131</v>
      </c>
      <c r="B67">
        <v>42319731</v>
      </c>
      <c r="C67">
        <v>42319721</v>
      </c>
      <c r="D67">
        <v>40679320</v>
      </c>
      <c r="E67">
        <v>1</v>
      </c>
      <c r="F67">
        <v>1</v>
      </c>
      <c r="G67">
        <v>27</v>
      </c>
      <c r="H67">
        <v>2</v>
      </c>
      <c r="I67" t="s">
        <v>285</v>
      </c>
      <c r="J67" t="s">
        <v>286</v>
      </c>
      <c r="K67" t="s">
        <v>287</v>
      </c>
      <c r="L67">
        <v>1368</v>
      </c>
      <c r="N67">
        <v>1011</v>
      </c>
      <c r="O67" t="s">
        <v>278</v>
      </c>
      <c r="P67" t="s">
        <v>278</v>
      </c>
      <c r="Q67">
        <v>1</v>
      </c>
      <c r="X67">
        <v>2.08</v>
      </c>
      <c r="Y67">
        <v>0</v>
      </c>
      <c r="Z67">
        <v>740.94</v>
      </c>
      <c r="AA67">
        <v>413.22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2.08</v>
      </c>
      <c r="AH67">
        <v>2</v>
      </c>
      <c r="AI67">
        <v>42319723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ROW(Source!A131)</f>
        <v>131</v>
      </c>
      <c r="B68">
        <v>42319732</v>
      </c>
      <c r="C68">
        <v>42319721</v>
      </c>
      <c r="D68">
        <v>40679475</v>
      </c>
      <c r="E68">
        <v>1</v>
      </c>
      <c r="F68">
        <v>1</v>
      </c>
      <c r="G68">
        <v>27</v>
      </c>
      <c r="H68">
        <v>2</v>
      </c>
      <c r="I68" t="s">
        <v>288</v>
      </c>
      <c r="J68" t="s">
        <v>289</v>
      </c>
      <c r="K68" t="s">
        <v>290</v>
      </c>
      <c r="L68">
        <v>1368</v>
      </c>
      <c r="N68">
        <v>1011</v>
      </c>
      <c r="O68" t="s">
        <v>278</v>
      </c>
      <c r="P68" t="s">
        <v>278</v>
      </c>
      <c r="Q68">
        <v>1</v>
      </c>
      <c r="X68">
        <v>2.08</v>
      </c>
      <c r="Y68">
        <v>0</v>
      </c>
      <c r="Z68">
        <v>430.32</v>
      </c>
      <c r="AA68">
        <v>215.31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2.08</v>
      </c>
      <c r="AH68">
        <v>2</v>
      </c>
      <c r="AI68">
        <v>42319724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ROW(Source!A131)</f>
        <v>131</v>
      </c>
      <c r="B69">
        <v>42319733</v>
      </c>
      <c r="C69">
        <v>42319721</v>
      </c>
      <c r="D69">
        <v>40679478</v>
      </c>
      <c r="E69">
        <v>1</v>
      </c>
      <c r="F69">
        <v>1</v>
      </c>
      <c r="G69">
        <v>27</v>
      </c>
      <c r="H69">
        <v>2</v>
      </c>
      <c r="I69" t="s">
        <v>291</v>
      </c>
      <c r="J69" t="s">
        <v>292</v>
      </c>
      <c r="K69" t="s">
        <v>293</v>
      </c>
      <c r="L69">
        <v>1368</v>
      </c>
      <c r="N69">
        <v>1011</v>
      </c>
      <c r="O69" t="s">
        <v>278</v>
      </c>
      <c r="P69" t="s">
        <v>278</v>
      </c>
      <c r="Q69">
        <v>1</v>
      </c>
      <c r="X69">
        <v>0.81</v>
      </c>
      <c r="Y69">
        <v>0</v>
      </c>
      <c r="Z69">
        <v>2020.59</v>
      </c>
      <c r="AA69">
        <v>458.56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0.81</v>
      </c>
      <c r="AH69">
        <v>2</v>
      </c>
      <c r="AI69">
        <v>42319725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ROW(Source!A131)</f>
        <v>131</v>
      </c>
      <c r="B70">
        <v>42319734</v>
      </c>
      <c r="C70">
        <v>42319721</v>
      </c>
      <c r="D70">
        <v>40679502</v>
      </c>
      <c r="E70">
        <v>1</v>
      </c>
      <c r="F70">
        <v>1</v>
      </c>
      <c r="G70">
        <v>27</v>
      </c>
      <c r="H70">
        <v>2</v>
      </c>
      <c r="I70" t="s">
        <v>294</v>
      </c>
      <c r="J70" t="s">
        <v>295</v>
      </c>
      <c r="K70" t="s">
        <v>296</v>
      </c>
      <c r="L70">
        <v>1368</v>
      </c>
      <c r="N70">
        <v>1011</v>
      </c>
      <c r="O70" t="s">
        <v>278</v>
      </c>
      <c r="P70" t="s">
        <v>278</v>
      </c>
      <c r="Q70">
        <v>1</v>
      </c>
      <c r="X70">
        <v>1.94</v>
      </c>
      <c r="Y70">
        <v>0</v>
      </c>
      <c r="Z70">
        <v>1412.71</v>
      </c>
      <c r="AA70">
        <v>641.32000000000005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1.94</v>
      </c>
      <c r="AH70">
        <v>2</v>
      </c>
      <c r="AI70">
        <v>42319726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ROW(Source!A131)</f>
        <v>131</v>
      </c>
      <c r="B71">
        <v>42319735</v>
      </c>
      <c r="C71">
        <v>42319721</v>
      </c>
      <c r="D71">
        <v>40679468</v>
      </c>
      <c r="E71">
        <v>1</v>
      </c>
      <c r="F71">
        <v>1</v>
      </c>
      <c r="G71">
        <v>27</v>
      </c>
      <c r="H71">
        <v>2</v>
      </c>
      <c r="I71" t="s">
        <v>297</v>
      </c>
      <c r="J71" t="s">
        <v>298</v>
      </c>
      <c r="K71" t="s">
        <v>299</v>
      </c>
      <c r="L71">
        <v>1368</v>
      </c>
      <c r="N71">
        <v>1011</v>
      </c>
      <c r="O71" t="s">
        <v>278</v>
      </c>
      <c r="P71" t="s">
        <v>278</v>
      </c>
      <c r="Q71">
        <v>1</v>
      </c>
      <c r="X71">
        <v>0.65</v>
      </c>
      <c r="Y71">
        <v>0</v>
      </c>
      <c r="Z71">
        <v>1213.3399999999999</v>
      </c>
      <c r="AA71">
        <v>461.6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0.65</v>
      </c>
      <c r="AH71">
        <v>2</v>
      </c>
      <c r="AI71">
        <v>42319727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ROW(Source!A131)</f>
        <v>131</v>
      </c>
      <c r="B72">
        <v>42319736</v>
      </c>
      <c r="C72">
        <v>42319721</v>
      </c>
      <c r="D72">
        <v>40681431</v>
      </c>
      <c r="E72">
        <v>1</v>
      </c>
      <c r="F72">
        <v>1</v>
      </c>
      <c r="G72">
        <v>27</v>
      </c>
      <c r="H72">
        <v>3</v>
      </c>
      <c r="I72" t="s">
        <v>300</v>
      </c>
      <c r="J72" t="s">
        <v>301</v>
      </c>
      <c r="K72" t="s">
        <v>302</v>
      </c>
      <c r="L72">
        <v>1339</v>
      </c>
      <c r="N72">
        <v>1007</v>
      </c>
      <c r="O72" t="s">
        <v>38</v>
      </c>
      <c r="P72" t="s">
        <v>38</v>
      </c>
      <c r="Q72">
        <v>1</v>
      </c>
      <c r="X72">
        <v>110</v>
      </c>
      <c r="Y72">
        <v>590.78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110</v>
      </c>
      <c r="AH72">
        <v>2</v>
      </c>
      <c r="AI72">
        <v>42319728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ROW(Source!A131)</f>
        <v>131</v>
      </c>
      <c r="B73">
        <v>42319737</v>
      </c>
      <c r="C73">
        <v>42319721</v>
      </c>
      <c r="D73">
        <v>40682177</v>
      </c>
      <c r="E73">
        <v>1</v>
      </c>
      <c r="F73">
        <v>1</v>
      </c>
      <c r="G73">
        <v>27</v>
      </c>
      <c r="H73">
        <v>3</v>
      </c>
      <c r="I73" t="s">
        <v>303</v>
      </c>
      <c r="J73" t="s">
        <v>304</v>
      </c>
      <c r="K73" t="s">
        <v>305</v>
      </c>
      <c r="L73">
        <v>1339</v>
      </c>
      <c r="N73">
        <v>1007</v>
      </c>
      <c r="O73" t="s">
        <v>38</v>
      </c>
      <c r="P73" t="s">
        <v>38</v>
      </c>
      <c r="Q73">
        <v>1</v>
      </c>
      <c r="X73">
        <v>5</v>
      </c>
      <c r="Y73">
        <v>35.25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5</v>
      </c>
      <c r="AH73">
        <v>2</v>
      </c>
      <c r="AI73">
        <v>42319729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ROW(Source!A132)</f>
        <v>132</v>
      </c>
      <c r="B74">
        <v>42186925</v>
      </c>
      <c r="C74">
        <v>42186899</v>
      </c>
      <c r="D74">
        <v>40662784</v>
      </c>
      <c r="E74">
        <v>27</v>
      </c>
      <c r="F74">
        <v>1</v>
      </c>
      <c r="G74">
        <v>27</v>
      </c>
      <c r="H74">
        <v>1</v>
      </c>
      <c r="I74" t="s">
        <v>272</v>
      </c>
      <c r="J74" t="s">
        <v>3</v>
      </c>
      <c r="K74" t="s">
        <v>273</v>
      </c>
      <c r="L74">
        <v>1191</v>
      </c>
      <c r="N74">
        <v>1013</v>
      </c>
      <c r="O74" t="s">
        <v>274</v>
      </c>
      <c r="P74" t="s">
        <v>274</v>
      </c>
      <c r="Q74">
        <v>1</v>
      </c>
      <c r="X74">
        <v>72.959999999999994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1</v>
      </c>
      <c r="AF74" t="s">
        <v>3</v>
      </c>
      <c r="AG74">
        <v>72.959999999999994</v>
      </c>
      <c r="AH74">
        <v>2</v>
      </c>
      <c r="AI74">
        <v>42186910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ROW(Source!A132)</f>
        <v>132</v>
      </c>
      <c r="B75">
        <v>42186926</v>
      </c>
      <c r="C75">
        <v>42186899</v>
      </c>
      <c r="D75">
        <v>40679392</v>
      </c>
      <c r="E75">
        <v>1</v>
      </c>
      <c r="F75">
        <v>1</v>
      </c>
      <c r="G75">
        <v>27</v>
      </c>
      <c r="H75">
        <v>2</v>
      </c>
      <c r="I75" t="s">
        <v>327</v>
      </c>
      <c r="J75" t="s">
        <v>328</v>
      </c>
      <c r="K75" t="s">
        <v>329</v>
      </c>
      <c r="L75">
        <v>1368</v>
      </c>
      <c r="N75">
        <v>1011</v>
      </c>
      <c r="O75" t="s">
        <v>278</v>
      </c>
      <c r="P75" t="s">
        <v>278</v>
      </c>
      <c r="Q75">
        <v>1</v>
      </c>
      <c r="X75">
        <v>0.28000000000000003</v>
      </c>
      <c r="Y75">
        <v>0</v>
      </c>
      <c r="Z75">
        <v>683.9</v>
      </c>
      <c r="AA75">
        <v>371.27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0.28000000000000003</v>
      </c>
      <c r="AH75">
        <v>2</v>
      </c>
      <c r="AI75">
        <v>42186911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ROW(Source!A132)</f>
        <v>132</v>
      </c>
      <c r="B76">
        <v>42186927</v>
      </c>
      <c r="C76">
        <v>42186899</v>
      </c>
      <c r="D76">
        <v>40683148</v>
      </c>
      <c r="E76">
        <v>1</v>
      </c>
      <c r="F76">
        <v>1</v>
      </c>
      <c r="G76">
        <v>27</v>
      </c>
      <c r="H76">
        <v>3</v>
      </c>
      <c r="I76" t="s">
        <v>330</v>
      </c>
      <c r="J76" t="s">
        <v>331</v>
      </c>
      <c r="K76" t="s">
        <v>332</v>
      </c>
      <c r="L76">
        <v>1339</v>
      </c>
      <c r="N76">
        <v>1007</v>
      </c>
      <c r="O76" t="s">
        <v>38</v>
      </c>
      <c r="P76" t="s">
        <v>38</v>
      </c>
      <c r="Q76">
        <v>1</v>
      </c>
      <c r="X76">
        <v>4.8</v>
      </c>
      <c r="Y76">
        <v>3714.73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4.8</v>
      </c>
      <c r="AH76">
        <v>2</v>
      </c>
      <c r="AI76">
        <v>42186912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ROW(Source!A132)</f>
        <v>132</v>
      </c>
      <c r="B77">
        <v>42186928</v>
      </c>
      <c r="C77">
        <v>42186899</v>
      </c>
      <c r="D77">
        <v>40683224</v>
      </c>
      <c r="E77">
        <v>1</v>
      </c>
      <c r="F77">
        <v>1</v>
      </c>
      <c r="G77">
        <v>27</v>
      </c>
      <c r="H77">
        <v>3</v>
      </c>
      <c r="I77" t="s">
        <v>333</v>
      </c>
      <c r="J77" t="s">
        <v>334</v>
      </c>
      <c r="K77" t="s">
        <v>335</v>
      </c>
      <c r="L77">
        <v>1339</v>
      </c>
      <c r="N77">
        <v>1007</v>
      </c>
      <c r="O77" t="s">
        <v>38</v>
      </c>
      <c r="P77" t="s">
        <v>38</v>
      </c>
      <c r="Q77">
        <v>1</v>
      </c>
      <c r="X77">
        <v>0.02</v>
      </c>
      <c r="Y77">
        <v>3392.59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0.02</v>
      </c>
      <c r="AH77">
        <v>2</v>
      </c>
      <c r="AI77">
        <v>42186913</v>
      </c>
      <c r="AJ77">
        <v>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ROW(Source!A132)</f>
        <v>132</v>
      </c>
      <c r="B78">
        <v>42186929</v>
      </c>
      <c r="C78">
        <v>42186899</v>
      </c>
      <c r="D78">
        <v>40683963</v>
      </c>
      <c r="E78">
        <v>1</v>
      </c>
      <c r="F78">
        <v>1</v>
      </c>
      <c r="G78">
        <v>27</v>
      </c>
      <c r="H78">
        <v>3</v>
      </c>
      <c r="I78" t="s">
        <v>336</v>
      </c>
      <c r="J78" t="s">
        <v>337</v>
      </c>
      <c r="K78" t="s">
        <v>338</v>
      </c>
      <c r="L78">
        <v>1339</v>
      </c>
      <c r="N78">
        <v>1007</v>
      </c>
      <c r="O78" t="s">
        <v>38</v>
      </c>
      <c r="P78" t="s">
        <v>38</v>
      </c>
      <c r="Q78">
        <v>1</v>
      </c>
      <c r="X78">
        <v>1.6</v>
      </c>
      <c r="Y78">
        <v>9014.9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1.6</v>
      </c>
      <c r="AH78">
        <v>2</v>
      </c>
      <c r="AI78">
        <v>42186914</v>
      </c>
      <c r="AJ78">
        <v>80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ROW(Source!A170)</f>
        <v>170</v>
      </c>
      <c r="B79">
        <v>42186934</v>
      </c>
      <c r="C79">
        <v>42186930</v>
      </c>
      <c r="D79">
        <v>40662784</v>
      </c>
      <c r="E79">
        <v>27</v>
      </c>
      <c r="F79">
        <v>1</v>
      </c>
      <c r="G79">
        <v>27</v>
      </c>
      <c r="H79">
        <v>1</v>
      </c>
      <c r="I79" t="s">
        <v>272</v>
      </c>
      <c r="J79" t="s">
        <v>3</v>
      </c>
      <c r="K79" t="s">
        <v>273</v>
      </c>
      <c r="L79">
        <v>1191</v>
      </c>
      <c r="N79">
        <v>1013</v>
      </c>
      <c r="O79" t="s">
        <v>274</v>
      </c>
      <c r="P79" t="s">
        <v>274</v>
      </c>
      <c r="Q79">
        <v>1</v>
      </c>
      <c r="X79">
        <v>1.59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1</v>
      </c>
      <c r="AF79" t="s">
        <v>3</v>
      </c>
      <c r="AG79">
        <v>1.59</v>
      </c>
      <c r="AH79">
        <v>2</v>
      </c>
      <c r="AI79">
        <v>42186931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ROW(Source!A170)</f>
        <v>170</v>
      </c>
      <c r="B80">
        <v>42186935</v>
      </c>
      <c r="C80">
        <v>42186930</v>
      </c>
      <c r="D80">
        <v>40679275</v>
      </c>
      <c r="E80">
        <v>1</v>
      </c>
      <c r="F80">
        <v>1</v>
      </c>
      <c r="G80">
        <v>27</v>
      </c>
      <c r="H80">
        <v>2</v>
      </c>
      <c r="I80" t="s">
        <v>275</v>
      </c>
      <c r="J80" t="s">
        <v>276</v>
      </c>
      <c r="K80" t="s">
        <v>277</v>
      </c>
      <c r="L80">
        <v>1368</v>
      </c>
      <c r="N80">
        <v>1011</v>
      </c>
      <c r="O80" t="s">
        <v>278</v>
      </c>
      <c r="P80" t="s">
        <v>278</v>
      </c>
      <c r="Q80">
        <v>1</v>
      </c>
      <c r="X80">
        <v>4.9800000000000004</v>
      </c>
      <c r="Y80">
        <v>0</v>
      </c>
      <c r="Z80">
        <v>1493.72</v>
      </c>
      <c r="AA80">
        <v>566.86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4.9800000000000004</v>
      </c>
      <c r="AH80">
        <v>2</v>
      </c>
      <c r="AI80">
        <v>42186932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ROW(Source!A170)</f>
        <v>170</v>
      </c>
      <c r="B81">
        <v>42186936</v>
      </c>
      <c r="C81">
        <v>42186930</v>
      </c>
      <c r="D81">
        <v>40679298</v>
      </c>
      <c r="E81">
        <v>1</v>
      </c>
      <c r="F81">
        <v>1</v>
      </c>
      <c r="G81">
        <v>27</v>
      </c>
      <c r="H81">
        <v>2</v>
      </c>
      <c r="I81" t="s">
        <v>279</v>
      </c>
      <c r="J81" t="s">
        <v>280</v>
      </c>
      <c r="K81" t="s">
        <v>281</v>
      </c>
      <c r="L81">
        <v>1368</v>
      </c>
      <c r="N81">
        <v>1011</v>
      </c>
      <c r="O81" t="s">
        <v>278</v>
      </c>
      <c r="P81" t="s">
        <v>278</v>
      </c>
      <c r="Q81">
        <v>1</v>
      </c>
      <c r="X81">
        <v>1.25</v>
      </c>
      <c r="Y81">
        <v>0</v>
      </c>
      <c r="Z81">
        <v>1072.23</v>
      </c>
      <c r="AA81">
        <v>488.73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1.25</v>
      </c>
      <c r="AH81">
        <v>2</v>
      </c>
      <c r="AI81">
        <v>42186933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ROW(Source!A171)</f>
        <v>171</v>
      </c>
      <c r="B82">
        <v>42186941</v>
      </c>
      <c r="C82">
        <v>42186937</v>
      </c>
      <c r="D82">
        <v>40662784</v>
      </c>
      <c r="E82">
        <v>27</v>
      </c>
      <c r="F82">
        <v>1</v>
      </c>
      <c r="G82">
        <v>27</v>
      </c>
      <c r="H82">
        <v>1</v>
      </c>
      <c r="I82" t="s">
        <v>272</v>
      </c>
      <c r="J82" t="s">
        <v>3</v>
      </c>
      <c r="K82" t="s">
        <v>273</v>
      </c>
      <c r="L82">
        <v>1191</v>
      </c>
      <c r="N82">
        <v>1013</v>
      </c>
      <c r="O82" t="s">
        <v>274</v>
      </c>
      <c r="P82" t="s">
        <v>274</v>
      </c>
      <c r="Q82">
        <v>1</v>
      </c>
      <c r="X82">
        <v>1.59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1</v>
      </c>
      <c r="AF82" t="s">
        <v>3</v>
      </c>
      <c r="AG82">
        <v>1.59</v>
      </c>
      <c r="AH82">
        <v>2</v>
      </c>
      <c r="AI82">
        <v>42186938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ROW(Source!A171)</f>
        <v>171</v>
      </c>
      <c r="B83">
        <v>42186942</v>
      </c>
      <c r="C83">
        <v>42186937</v>
      </c>
      <c r="D83">
        <v>40679275</v>
      </c>
      <c r="E83">
        <v>1</v>
      </c>
      <c r="F83">
        <v>1</v>
      </c>
      <c r="G83">
        <v>27</v>
      </c>
      <c r="H83">
        <v>2</v>
      </c>
      <c r="I83" t="s">
        <v>275</v>
      </c>
      <c r="J83" t="s">
        <v>276</v>
      </c>
      <c r="K83" t="s">
        <v>277</v>
      </c>
      <c r="L83">
        <v>1368</v>
      </c>
      <c r="N83">
        <v>1011</v>
      </c>
      <c r="O83" t="s">
        <v>278</v>
      </c>
      <c r="P83" t="s">
        <v>278</v>
      </c>
      <c r="Q83">
        <v>1</v>
      </c>
      <c r="X83">
        <v>4.9800000000000004</v>
      </c>
      <c r="Y83">
        <v>0</v>
      </c>
      <c r="Z83">
        <v>1493.72</v>
      </c>
      <c r="AA83">
        <v>566.86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4.9800000000000004</v>
      </c>
      <c r="AH83">
        <v>2</v>
      </c>
      <c r="AI83">
        <v>42186939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ROW(Source!A171)</f>
        <v>171</v>
      </c>
      <c r="B84">
        <v>42186943</v>
      </c>
      <c r="C84">
        <v>42186937</v>
      </c>
      <c r="D84">
        <v>40679298</v>
      </c>
      <c r="E84">
        <v>1</v>
      </c>
      <c r="F84">
        <v>1</v>
      </c>
      <c r="G84">
        <v>27</v>
      </c>
      <c r="H84">
        <v>2</v>
      </c>
      <c r="I84" t="s">
        <v>279</v>
      </c>
      <c r="J84" t="s">
        <v>280</v>
      </c>
      <c r="K84" t="s">
        <v>281</v>
      </c>
      <c r="L84">
        <v>1368</v>
      </c>
      <c r="N84">
        <v>1011</v>
      </c>
      <c r="O84" t="s">
        <v>278</v>
      </c>
      <c r="P84" t="s">
        <v>278</v>
      </c>
      <c r="Q84">
        <v>1</v>
      </c>
      <c r="X84">
        <v>1.25</v>
      </c>
      <c r="Y84">
        <v>0</v>
      </c>
      <c r="Z84">
        <v>1072.23</v>
      </c>
      <c r="AA84">
        <v>488.73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1.25</v>
      </c>
      <c r="AH84">
        <v>2</v>
      </c>
      <c r="AI84">
        <v>42186940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ROW(Source!A172)</f>
        <v>172</v>
      </c>
      <c r="B85">
        <v>42186946</v>
      </c>
      <c r="C85">
        <v>42186944</v>
      </c>
      <c r="D85">
        <v>40662784</v>
      </c>
      <c r="E85">
        <v>27</v>
      </c>
      <c r="F85">
        <v>1</v>
      </c>
      <c r="G85">
        <v>27</v>
      </c>
      <c r="H85">
        <v>1</v>
      </c>
      <c r="I85" t="s">
        <v>272</v>
      </c>
      <c r="J85" t="s">
        <v>3</v>
      </c>
      <c r="K85" t="s">
        <v>273</v>
      </c>
      <c r="L85">
        <v>1191</v>
      </c>
      <c r="N85">
        <v>1013</v>
      </c>
      <c r="O85" t="s">
        <v>274</v>
      </c>
      <c r="P85" t="s">
        <v>274</v>
      </c>
      <c r="Q85">
        <v>1</v>
      </c>
      <c r="X85">
        <v>83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1</v>
      </c>
      <c r="AF85" t="s">
        <v>3</v>
      </c>
      <c r="AG85">
        <v>83</v>
      </c>
      <c r="AH85">
        <v>2</v>
      </c>
      <c r="AI85">
        <v>42186945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ROW(Source!A173)</f>
        <v>173</v>
      </c>
      <c r="B86">
        <v>42186949</v>
      </c>
      <c r="C86">
        <v>42186947</v>
      </c>
      <c r="D86">
        <v>40680075</v>
      </c>
      <c r="E86">
        <v>1</v>
      </c>
      <c r="F86">
        <v>1</v>
      </c>
      <c r="G86">
        <v>27</v>
      </c>
      <c r="H86">
        <v>2</v>
      </c>
      <c r="I86" t="s">
        <v>282</v>
      </c>
      <c r="J86" t="s">
        <v>283</v>
      </c>
      <c r="K86" t="s">
        <v>284</v>
      </c>
      <c r="L86">
        <v>1368</v>
      </c>
      <c r="N86">
        <v>1011</v>
      </c>
      <c r="O86" t="s">
        <v>278</v>
      </c>
      <c r="P86" t="s">
        <v>278</v>
      </c>
      <c r="Q86">
        <v>1</v>
      </c>
      <c r="X86">
        <v>3.1E-2</v>
      </c>
      <c r="Y86">
        <v>0</v>
      </c>
      <c r="Z86">
        <v>1014.12</v>
      </c>
      <c r="AA86">
        <v>317.13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3.1E-2</v>
      </c>
      <c r="AH86">
        <v>2</v>
      </c>
      <c r="AI86">
        <v>42186948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ROW(Source!A174)</f>
        <v>174</v>
      </c>
      <c r="B87">
        <v>42186952</v>
      </c>
      <c r="C87">
        <v>42186950</v>
      </c>
      <c r="D87">
        <v>40680075</v>
      </c>
      <c r="E87">
        <v>1</v>
      </c>
      <c r="F87">
        <v>1</v>
      </c>
      <c r="G87">
        <v>27</v>
      </c>
      <c r="H87">
        <v>2</v>
      </c>
      <c r="I87" t="s">
        <v>282</v>
      </c>
      <c r="J87" t="s">
        <v>283</v>
      </c>
      <c r="K87" t="s">
        <v>284</v>
      </c>
      <c r="L87">
        <v>1368</v>
      </c>
      <c r="N87">
        <v>1011</v>
      </c>
      <c r="O87" t="s">
        <v>278</v>
      </c>
      <c r="P87" t="s">
        <v>278</v>
      </c>
      <c r="Q87">
        <v>1</v>
      </c>
      <c r="X87">
        <v>0.01</v>
      </c>
      <c r="Y87">
        <v>0</v>
      </c>
      <c r="Z87">
        <v>1014.12</v>
      </c>
      <c r="AA87">
        <v>317.13</v>
      </c>
      <c r="AB87">
        <v>0</v>
      </c>
      <c r="AC87">
        <v>0</v>
      </c>
      <c r="AD87">
        <v>1</v>
      </c>
      <c r="AE87">
        <v>0</v>
      </c>
      <c r="AF87" t="s">
        <v>45</v>
      </c>
      <c r="AG87">
        <v>0.54</v>
      </c>
      <c r="AH87">
        <v>2</v>
      </c>
      <c r="AI87">
        <v>42186951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ROW(Source!A176)</f>
        <v>176</v>
      </c>
      <c r="B88">
        <v>42186958</v>
      </c>
      <c r="C88">
        <v>42186953</v>
      </c>
      <c r="D88">
        <v>40662784</v>
      </c>
      <c r="E88">
        <v>27</v>
      </c>
      <c r="F88">
        <v>1</v>
      </c>
      <c r="G88">
        <v>27</v>
      </c>
      <c r="H88">
        <v>1</v>
      </c>
      <c r="I88" t="s">
        <v>272</v>
      </c>
      <c r="J88" t="s">
        <v>3</v>
      </c>
      <c r="K88" t="s">
        <v>273</v>
      </c>
      <c r="L88">
        <v>1191</v>
      </c>
      <c r="N88">
        <v>1013</v>
      </c>
      <c r="O88" t="s">
        <v>274</v>
      </c>
      <c r="P88" t="s">
        <v>274</v>
      </c>
      <c r="Q88">
        <v>1</v>
      </c>
      <c r="X88">
        <v>30.8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1</v>
      </c>
      <c r="AF88" t="s">
        <v>3</v>
      </c>
      <c r="AG88">
        <v>30.8</v>
      </c>
      <c r="AH88">
        <v>2</v>
      </c>
      <c r="AI88">
        <v>42186954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ROW(Source!A176)</f>
        <v>176</v>
      </c>
      <c r="B89">
        <v>42186959</v>
      </c>
      <c r="C89">
        <v>42186953</v>
      </c>
      <c r="D89">
        <v>40679876</v>
      </c>
      <c r="E89">
        <v>1</v>
      </c>
      <c r="F89">
        <v>1</v>
      </c>
      <c r="G89">
        <v>27</v>
      </c>
      <c r="H89">
        <v>2</v>
      </c>
      <c r="I89" t="s">
        <v>339</v>
      </c>
      <c r="J89" t="s">
        <v>340</v>
      </c>
      <c r="K89" t="s">
        <v>341</v>
      </c>
      <c r="L89">
        <v>1368</v>
      </c>
      <c r="N89">
        <v>1011</v>
      </c>
      <c r="O89" t="s">
        <v>278</v>
      </c>
      <c r="P89" t="s">
        <v>278</v>
      </c>
      <c r="Q89">
        <v>1</v>
      </c>
      <c r="X89">
        <v>0.06</v>
      </c>
      <c r="Y89">
        <v>0</v>
      </c>
      <c r="Z89">
        <v>20.7</v>
      </c>
      <c r="AA89">
        <v>9.74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0.06</v>
      </c>
      <c r="AH89">
        <v>2</v>
      </c>
      <c r="AI89">
        <v>42186955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ROW(Source!A176)</f>
        <v>176</v>
      </c>
      <c r="B90">
        <v>42186960</v>
      </c>
      <c r="C90">
        <v>42186953</v>
      </c>
      <c r="D90">
        <v>40679326</v>
      </c>
      <c r="E90">
        <v>1</v>
      </c>
      <c r="F90">
        <v>1</v>
      </c>
      <c r="G90">
        <v>27</v>
      </c>
      <c r="H90">
        <v>2</v>
      </c>
      <c r="I90" t="s">
        <v>342</v>
      </c>
      <c r="J90" t="s">
        <v>343</v>
      </c>
      <c r="K90" t="s">
        <v>344</v>
      </c>
      <c r="L90">
        <v>1368</v>
      </c>
      <c r="N90">
        <v>1011</v>
      </c>
      <c r="O90" t="s">
        <v>278</v>
      </c>
      <c r="P90" t="s">
        <v>278</v>
      </c>
      <c r="Q90">
        <v>1</v>
      </c>
      <c r="X90">
        <v>0.06</v>
      </c>
      <c r="Y90">
        <v>0</v>
      </c>
      <c r="Z90">
        <v>991.89</v>
      </c>
      <c r="AA90">
        <v>360.79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0.06</v>
      </c>
      <c r="AH90">
        <v>2</v>
      </c>
      <c r="AI90">
        <v>42186956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ROW(Source!A176)</f>
        <v>176</v>
      </c>
      <c r="B91">
        <v>42186961</v>
      </c>
      <c r="C91">
        <v>42186953</v>
      </c>
      <c r="D91">
        <v>40683909</v>
      </c>
      <c r="E91">
        <v>1</v>
      </c>
      <c r="F91">
        <v>1</v>
      </c>
      <c r="G91">
        <v>27</v>
      </c>
      <c r="H91">
        <v>3</v>
      </c>
      <c r="I91" t="s">
        <v>345</v>
      </c>
      <c r="J91" t="s">
        <v>346</v>
      </c>
      <c r="K91" t="s">
        <v>347</v>
      </c>
      <c r="L91">
        <v>1339</v>
      </c>
      <c r="N91">
        <v>1007</v>
      </c>
      <c r="O91" t="s">
        <v>38</v>
      </c>
      <c r="P91" t="s">
        <v>38</v>
      </c>
      <c r="Q91">
        <v>1</v>
      </c>
      <c r="X91">
        <v>15</v>
      </c>
      <c r="Y91">
        <v>753.67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15</v>
      </c>
      <c r="AH91">
        <v>2</v>
      </c>
      <c r="AI91">
        <v>42186957</v>
      </c>
      <c r="AJ91">
        <v>93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ROW(Source!A177)</f>
        <v>177</v>
      </c>
      <c r="B92">
        <v>42186965</v>
      </c>
      <c r="C92">
        <v>42186962</v>
      </c>
      <c r="D92">
        <v>40662784</v>
      </c>
      <c r="E92">
        <v>27</v>
      </c>
      <c r="F92">
        <v>1</v>
      </c>
      <c r="G92">
        <v>27</v>
      </c>
      <c r="H92">
        <v>1</v>
      </c>
      <c r="I92" t="s">
        <v>272</v>
      </c>
      <c r="J92" t="s">
        <v>3</v>
      </c>
      <c r="K92" t="s">
        <v>273</v>
      </c>
      <c r="L92">
        <v>1191</v>
      </c>
      <c r="N92">
        <v>1013</v>
      </c>
      <c r="O92" t="s">
        <v>274</v>
      </c>
      <c r="P92" t="s">
        <v>274</v>
      </c>
      <c r="Q92">
        <v>1</v>
      </c>
      <c r="X92">
        <v>46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1</v>
      </c>
      <c r="AF92" t="s">
        <v>3</v>
      </c>
      <c r="AG92">
        <v>46</v>
      </c>
      <c r="AH92">
        <v>2</v>
      </c>
      <c r="AI92">
        <v>42186963</v>
      </c>
      <c r="AJ92">
        <v>94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ROW(Source!A177)</f>
        <v>177</v>
      </c>
      <c r="B93">
        <v>42186966</v>
      </c>
      <c r="C93">
        <v>42186962</v>
      </c>
      <c r="D93">
        <v>40683909</v>
      </c>
      <c r="E93">
        <v>1</v>
      </c>
      <c r="F93">
        <v>1</v>
      </c>
      <c r="G93">
        <v>27</v>
      </c>
      <c r="H93">
        <v>3</v>
      </c>
      <c r="I93" t="s">
        <v>345</v>
      </c>
      <c r="J93" t="s">
        <v>346</v>
      </c>
      <c r="K93" t="s">
        <v>347</v>
      </c>
      <c r="L93">
        <v>1339</v>
      </c>
      <c r="N93">
        <v>1007</v>
      </c>
      <c r="O93" t="s">
        <v>38</v>
      </c>
      <c r="P93" t="s">
        <v>38</v>
      </c>
      <c r="Q93">
        <v>1</v>
      </c>
      <c r="X93">
        <v>15</v>
      </c>
      <c r="Y93">
        <v>753.67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15</v>
      </c>
      <c r="AH93">
        <v>2</v>
      </c>
      <c r="AI93">
        <v>42186964</v>
      </c>
      <c r="AJ93">
        <v>95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ROW(Source!A178)</f>
        <v>178</v>
      </c>
      <c r="B94">
        <v>42186970</v>
      </c>
      <c r="C94">
        <v>42186967</v>
      </c>
      <c r="D94">
        <v>40662784</v>
      </c>
      <c r="E94">
        <v>27</v>
      </c>
      <c r="F94">
        <v>1</v>
      </c>
      <c r="G94">
        <v>27</v>
      </c>
      <c r="H94">
        <v>1</v>
      </c>
      <c r="I94" t="s">
        <v>272</v>
      </c>
      <c r="J94" t="s">
        <v>3</v>
      </c>
      <c r="K94" t="s">
        <v>273</v>
      </c>
      <c r="L94">
        <v>1191</v>
      </c>
      <c r="N94">
        <v>1013</v>
      </c>
      <c r="O94" t="s">
        <v>274</v>
      </c>
      <c r="P94" t="s">
        <v>274</v>
      </c>
      <c r="Q94">
        <v>1</v>
      </c>
      <c r="X94">
        <v>6.29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F94" t="s">
        <v>3</v>
      </c>
      <c r="AG94">
        <v>6.29</v>
      </c>
      <c r="AH94">
        <v>2</v>
      </c>
      <c r="AI94">
        <v>42186968</v>
      </c>
      <c r="AJ94">
        <v>96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ROW(Source!A178)</f>
        <v>178</v>
      </c>
      <c r="B95">
        <v>42186971</v>
      </c>
      <c r="C95">
        <v>42186967</v>
      </c>
      <c r="D95">
        <v>40683909</v>
      </c>
      <c r="E95">
        <v>1</v>
      </c>
      <c r="F95">
        <v>1</v>
      </c>
      <c r="G95">
        <v>27</v>
      </c>
      <c r="H95">
        <v>3</v>
      </c>
      <c r="I95" t="s">
        <v>345</v>
      </c>
      <c r="J95" t="s">
        <v>346</v>
      </c>
      <c r="K95" t="s">
        <v>347</v>
      </c>
      <c r="L95">
        <v>1339</v>
      </c>
      <c r="N95">
        <v>1007</v>
      </c>
      <c r="O95" t="s">
        <v>38</v>
      </c>
      <c r="P95" t="s">
        <v>38</v>
      </c>
      <c r="Q95">
        <v>1</v>
      </c>
      <c r="X95">
        <v>5</v>
      </c>
      <c r="Y95">
        <v>753.67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2</v>
      </c>
      <c r="AI95">
        <v>42186969</v>
      </c>
      <c r="AJ95">
        <v>97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ROW(Source!A179)</f>
        <v>179</v>
      </c>
      <c r="B96">
        <v>42186976</v>
      </c>
      <c r="C96">
        <v>42186972</v>
      </c>
      <c r="D96">
        <v>40662784</v>
      </c>
      <c r="E96">
        <v>27</v>
      </c>
      <c r="F96">
        <v>1</v>
      </c>
      <c r="G96">
        <v>27</v>
      </c>
      <c r="H96">
        <v>1</v>
      </c>
      <c r="I96" t="s">
        <v>272</v>
      </c>
      <c r="J96" t="s">
        <v>3</v>
      </c>
      <c r="K96" t="s">
        <v>273</v>
      </c>
      <c r="L96">
        <v>1191</v>
      </c>
      <c r="N96">
        <v>1013</v>
      </c>
      <c r="O96" t="s">
        <v>274</v>
      </c>
      <c r="P96" t="s">
        <v>274</v>
      </c>
      <c r="Q96">
        <v>1</v>
      </c>
      <c r="X96">
        <v>6.04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1</v>
      </c>
      <c r="AF96" t="s">
        <v>3</v>
      </c>
      <c r="AG96">
        <v>6.04</v>
      </c>
      <c r="AH96">
        <v>2</v>
      </c>
      <c r="AI96">
        <v>42186973</v>
      </c>
      <c r="AJ96">
        <v>98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ROW(Source!A179)</f>
        <v>179</v>
      </c>
      <c r="B97">
        <v>42186977</v>
      </c>
      <c r="C97">
        <v>42186972</v>
      </c>
      <c r="D97">
        <v>40682177</v>
      </c>
      <c r="E97">
        <v>1</v>
      </c>
      <c r="F97">
        <v>1</v>
      </c>
      <c r="G97">
        <v>27</v>
      </c>
      <c r="H97">
        <v>3</v>
      </c>
      <c r="I97" t="s">
        <v>303</v>
      </c>
      <c r="J97" t="s">
        <v>304</v>
      </c>
      <c r="K97" t="s">
        <v>305</v>
      </c>
      <c r="L97">
        <v>1339</v>
      </c>
      <c r="N97">
        <v>1007</v>
      </c>
      <c r="O97" t="s">
        <v>38</v>
      </c>
      <c r="P97" t="s">
        <v>38</v>
      </c>
      <c r="Q97">
        <v>1</v>
      </c>
      <c r="X97">
        <v>10</v>
      </c>
      <c r="Y97">
        <v>35.25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10</v>
      </c>
      <c r="AH97">
        <v>2</v>
      </c>
      <c r="AI97">
        <v>42186974</v>
      </c>
      <c r="AJ97">
        <v>99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ROW(Source!A179)</f>
        <v>179</v>
      </c>
      <c r="B98">
        <v>42186978</v>
      </c>
      <c r="C98">
        <v>42186972</v>
      </c>
      <c r="D98">
        <v>40683914</v>
      </c>
      <c r="E98">
        <v>1</v>
      </c>
      <c r="F98">
        <v>1</v>
      </c>
      <c r="G98">
        <v>27</v>
      </c>
      <c r="H98">
        <v>3</v>
      </c>
      <c r="I98" t="s">
        <v>348</v>
      </c>
      <c r="J98" t="s">
        <v>349</v>
      </c>
      <c r="K98" t="s">
        <v>350</v>
      </c>
      <c r="L98">
        <v>1346</v>
      </c>
      <c r="N98">
        <v>1009</v>
      </c>
      <c r="O98" t="s">
        <v>228</v>
      </c>
      <c r="P98" t="s">
        <v>228</v>
      </c>
      <c r="Q98">
        <v>1</v>
      </c>
      <c r="X98">
        <v>4</v>
      </c>
      <c r="Y98">
        <v>303.08999999999997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4</v>
      </c>
      <c r="AH98">
        <v>2</v>
      </c>
      <c r="AI98">
        <v>42186975</v>
      </c>
      <c r="AJ98">
        <v>100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ROW(Source!A217)</f>
        <v>217</v>
      </c>
      <c r="B99">
        <v>42319937</v>
      </c>
      <c r="C99">
        <v>42319933</v>
      </c>
      <c r="D99">
        <v>40662784</v>
      </c>
      <c r="E99">
        <v>27</v>
      </c>
      <c r="F99">
        <v>1</v>
      </c>
      <c r="G99">
        <v>27</v>
      </c>
      <c r="H99">
        <v>1</v>
      </c>
      <c r="I99" t="s">
        <v>272</v>
      </c>
      <c r="J99" t="s">
        <v>3</v>
      </c>
      <c r="K99" t="s">
        <v>273</v>
      </c>
      <c r="L99">
        <v>1191</v>
      </c>
      <c r="N99">
        <v>1013</v>
      </c>
      <c r="O99" t="s">
        <v>274</v>
      </c>
      <c r="P99" t="s">
        <v>274</v>
      </c>
      <c r="Q99">
        <v>1</v>
      </c>
      <c r="X99">
        <v>34.44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1</v>
      </c>
      <c r="AF99" t="s">
        <v>3</v>
      </c>
      <c r="AG99">
        <v>34.44</v>
      </c>
      <c r="AH99">
        <v>2</v>
      </c>
      <c r="AI99">
        <v>42319937</v>
      </c>
      <c r="AJ99">
        <v>101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ROW(Source!A217)</f>
        <v>217</v>
      </c>
      <c r="B100">
        <v>42319938</v>
      </c>
      <c r="C100">
        <v>42319933</v>
      </c>
      <c r="D100">
        <v>40679287</v>
      </c>
      <c r="E100">
        <v>1</v>
      </c>
      <c r="F100">
        <v>1</v>
      </c>
      <c r="G100">
        <v>27</v>
      </c>
      <c r="H100">
        <v>2</v>
      </c>
      <c r="I100" t="s">
        <v>351</v>
      </c>
      <c r="J100" t="s">
        <v>352</v>
      </c>
      <c r="K100" t="s">
        <v>353</v>
      </c>
      <c r="L100">
        <v>1368</v>
      </c>
      <c r="N100">
        <v>1011</v>
      </c>
      <c r="O100" t="s">
        <v>278</v>
      </c>
      <c r="P100" t="s">
        <v>278</v>
      </c>
      <c r="Q100">
        <v>1</v>
      </c>
      <c r="X100">
        <v>0.68</v>
      </c>
      <c r="Y100">
        <v>0</v>
      </c>
      <c r="Z100">
        <v>812.16</v>
      </c>
      <c r="AA100">
        <v>448.48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0.68</v>
      </c>
      <c r="AH100">
        <v>2</v>
      </c>
      <c r="AI100">
        <v>42319938</v>
      </c>
      <c r="AJ100">
        <v>102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ROW(Source!A217)</f>
        <v>217</v>
      </c>
      <c r="B101">
        <v>42319939</v>
      </c>
      <c r="C101">
        <v>42319933</v>
      </c>
      <c r="D101">
        <v>40683918</v>
      </c>
      <c r="E101">
        <v>1</v>
      </c>
      <c r="F101">
        <v>1</v>
      </c>
      <c r="G101">
        <v>27</v>
      </c>
      <c r="H101">
        <v>3</v>
      </c>
      <c r="I101" t="s">
        <v>354</v>
      </c>
      <c r="J101" t="s">
        <v>355</v>
      </c>
      <c r="K101" t="s">
        <v>356</v>
      </c>
      <c r="L101">
        <v>1339</v>
      </c>
      <c r="N101">
        <v>1007</v>
      </c>
      <c r="O101" t="s">
        <v>38</v>
      </c>
      <c r="P101" t="s">
        <v>38</v>
      </c>
      <c r="Q101">
        <v>1</v>
      </c>
      <c r="X101">
        <v>2.1</v>
      </c>
      <c r="Y101">
        <v>810.33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2.1</v>
      </c>
      <c r="AH101">
        <v>2</v>
      </c>
      <c r="AI101">
        <v>42319939</v>
      </c>
      <c r="AJ101">
        <v>103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ROW(Source!A217)</f>
        <v>217</v>
      </c>
      <c r="B102">
        <v>42319940</v>
      </c>
      <c r="C102">
        <v>42319933</v>
      </c>
      <c r="D102">
        <v>40683909</v>
      </c>
      <c r="E102">
        <v>1</v>
      </c>
      <c r="F102">
        <v>1</v>
      </c>
      <c r="G102">
        <v>27</v>
      </c>
      <c r="H102">
        <v>3</v>
      </c>
      <c r="I102" t="s">
        <v>345</v>
      </c>
      <c r="J102" t="s">
        <v>346</v>
      </c>
      <c r="K102" t="s">
        <v>347</v>
      </c>
      <c r="L102">
        <v>1339</v>
      </c>
      <c r="N102">
        <v>1007</v>
      </c>
      <c r="O102" t="s">
        <v>38</v>
      </c>
      <c r="P102" t="s">
        <v>38</v>
      </c>
      <c r="Q102">
        <v>1</v>
      </c>
      <c r="X102">
        <v>6.2</v>
      </c>
      <c r="Y102">
        <v>753.67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6.2</v>
      </c>
      <c r="AH102">
        <v>2</v>
      </c>
      <c r="AI102">
        <v>42319940</v>
      </c>
      <c r="AJ102">
        <v>104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ROW(Source!A218)</f>
        <v>218</v>
      </c>
      <c r="B103">
        <v>42319941</v>
      </c>
      <c r="C103">
        <v>42319934</v>
      </c>
      <c r="D103">
        <v>40662784</v>
      </c>
      <c r="E103">
        <v>27</v>
      </c>
      <c r="F103">
        <v>1</v>
      </c>
      <c r="G103">
        <v>27</v>
      </c>
      <c r="H103">
        <v>1</v>
      </c>
      <c r="I103" t="s">
        <v>272</v>
      </c>
      <c r="J103" t="s">
        <v>3</v>
      </c>
      <c r="K103" t="s">
        <v>273</v>
      </c>
      <c r="L103">
        <v>1191</v>
      </c>
      <c r="N103">
        <v>1013</v>
      </c>
      <c r="O103" t="s">
        <v>274</v>
      </c>
      <c r="P103" t="s">
        <v>274</v>
      </c>
      <c r="Q103">
        <v>1</v>
      </c>
      <c r="X103">
        <v>58.75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1</v>
      </c>
      <c r="AF103" t="s">
        <v>3</v>
      </c>
      <c r="AG103">
        <v>58.75</v>
      </c>
      <c r="AH103">
        <v>2</v>
      </c>
      <c r="AI103">
        <v>42319941</v>
      </c>
      <c r="AJ103">
        <v>105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ROW(Source!A218)</f>
        <v>218</v>
      </c>
      <c r="B104">
        <v>42319942</v>
      </c>
      <c r="C104">
        <v>42319934</v>
      </c>
      <c r="D104">
        <v>40683918</v>
      </c>
      <c r="E104">
        <v>1</v>
      </c>
      <c r="F104">
        <v>1</v>
      </c>
      <c r="G104">
        <v>27</v>
      </c>
      <c r="H104">
        <v>3</v>
      </c>
      <c r="I104" t="s">
        <v>354</v>
      </c>
      <c r="J104" t="s">
        <v>355</v>
      </c>
      <c r="K104" t="s">
        <v>356</v>
      </c>
      <c r="L104">
        <v>1339</v>
      </c>
      <c r="N104">
        <v>1007</v>
      </c>
      <c r="O104" t="s">
        <v>38</v>
      </c>
      <c r="P104" t="s">
        <v>38</v>
      </c>
      <c r="Q104">
        <v>1</v>
      </c>
      <c r="X104">
        <v>2.1</v>
      </c>
      <c r="Y104">
        <v>810.33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</v>
      </c>
      <c r="AH104">
        <v>2</v>
      </c>
      <c r="AI104">
        <v>42319942</v>
      </c>
      <c r="AJ104">
        <v>106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ROW(Source!A218)</f>
        <v>218</v>
      </c>
      <c r="B105">
        <v>42319943</v>
      </c>
      <c r="C105">
        <v>42319934</v>
      </c>
      <c r="D105">
        <v>40683909</v>
      </c>
      <c r="E105">
        <v>1</v>
      </c>
      <c r="F105">
        <v>1</v>
      </c>
      <c r="G105">
        <v>27</v>
      </c>
      <c r="H105">
        <v>3</v>
      </c>
      <c r="I105" t="s">
        <v>345</v>
      </c>
      <c r="J105" t="s">
        <v>346</v>
      </c>
      <c r="K105" t="s">
        <v>347</v>
      </c>
      <c r="L105">
        <v>1339</v>
      </c>
      <c r="N105">
        <v>1007</v>
      </c>
      <c r="O105" t="s">
        <v>38</v>
      </c>
      <c r="P105" t="s">
        <v>38</v>
      </c>
      <c r="Q105">
        <v>1</v>
      </c>
      <c r="X105">
        <v>6.2</v>
      </c>
      <c r="Y105">
        <v>753.67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6.2</v>
      </c>
      <c r="AH105">
        <v>2</v>
      </c>
      <c r="AI105">
        <v>42319943</v>
      </c>
      <c r="AJ105">
        <v>107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ROW(Source!A219)</f>
        <v>219</v>
      </c>
      <c r="B106">
        <v>42319954</v>
      </c>
      <c r="C106">
        <v>42319935</v>
      </c>
      <c r="D106">
        <v>40662784</v>
      </c>
      <c r="E106">
        <v>27</v>
      </c>
      <c r="F106">
        <v>1</v>
      </c>
      <c r="G106">
        <v>27</v>
      </c>
      <c r="H106">
        <v>1</v>
      </c>
      <c r="I106" t="s">
        <v>272</v>
      </c>
      <c r="J106" t="s">
        <v>3</v>
      </c>
      <c r="K106" t="s">
        <v>273</v>
      </c>
      <c r="L106">
        <v>1191</v>
      </c>
      <c r="N106">
        <v>1013</v>
      </c>
      <c r="O106" t="s">
        <v>274</v>
      </c>
      <c r="P106" t="s">
        <v>274</v>
      </c>
      <c r="Q106">
        <v>1</v>
      </c>
      <c r="X106">
        <v>20.71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1</v>
      </c>
      <c r="AF106" t="s">
        <v>3</v>
      </c>
      <c r="AG106">
        <v>20.71</v>
      </c>
      <c r="AH106">
        <v>2</v>
      </c>
      <c r="AI106">
        <v>42319954</v>
      </c>
      <c r="AJ106">
        <v>108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ROW(Source!A219)</f>
        <v>219</v>
      </c>
      <c r="B107">
        <v>42319955</v>
      </c>
      <c r="C107">
        <v>42319935</v>
      </c>
      <c r="D107">
        <v>40679478</v>
      </c>
      <c r="E107">
        <v>1</v>
      </c>
      <c r="F107">
        <v>1</v>
      </c>
      <c r="G107">
        <v>27</v>
      </c>
      <c r="H107">
        <v>2</v>
      </c>
      <c r="I107" t="s">
        <v>291</v>
      </c>
      <c r="J107" t="s">
        <v>292</v>
      </c>
      <c r="K107" t="s">
        <v>293</v>
      </c>
      <c r="L107">
        <v>1368</v>
      </c>
      <c r="N107">
        <v>1011</v>
      </c>
      <c r="O107" t="s">
        <v>278</v>
      </c>
      <c r="P107" t="s">
        <v>278</v>
      </c>
      <c r="Q107">
        <v>1</v>
      </c>
      <c r="X107">
        <v>0.76</v>
      </c>
      <c r="Y107">
        <v>0</v>
      </c>
      <c r="Z107">
        <v>2020.59</v>
      </c>
      <c r="AA107">
        <v>458.56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0.76</v>
      </c>
      <c r="AH107">
        <v>2</v>
      </c>
      <c r="AI107">
        <v>42319955</v>
      </c>
      <c r="AJ107">
        <v>109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ROW(Source!A219)</f>
        <v>219</v>
      </c>
      <c r="B108">
        <v>42319956</v>
      </c>
      <c r="C108">
        <v>42319935</v>
      </c>
      <c r="D108">
        <v>40682000</v>
      </c>
      <c r="E108">
        <v>1</v>
      </c>
      <c r="F108">
        <v>1</v>
      </c>
      <c r="G108">
        <v>27</v>
      </c>
      <c r="H108">
        <v>3</v>
      </c>
      <c r="I108" t="s">
        <v>357</v>
      </c>
      <c r="J108" t="s">
        <v>358</v>
      </c>
      <c r="K108" t="s">
        <v>359</v>
      </c>
      <c r="L108">
        <v>1327</v>
      </c>
      <c r="N108">
        <v>1005</v>
      </c>
      <c r="O108" t="s">
        <v>223</v>
      </c>
      <c r="P108" t="s">
        <v>223</v>
      </c>
      <c r="Q108">
        <v>1</v>
      </c>
      <c r="X108">
        <v>1.5</v>
      </c>
      <c r="Y108">
        <v>91.89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1.5</v>
      </c>
      <c r="AH108">
        <v>2</v>
      </c>
      <c r="AI108">
        <v>42319956</v>
      </c>
      <c r="AJ108">
        <v>110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ROW(Source!A219)</f>
        <v>219</v>
      </c>
      <c r="B109">
        <v>42319957</v>
      </c>
      <c r="C109">
        <v>42319935</v>
      </c>
      <c r="D109">
        <v>40682037</v>
      </c>
      <c r="E109">
        <v>1</v>
      </c>
      <c r="F109">
        <v>1</v>
      </c>
      <c r="G109">
        <v>27</v>
      </c>
      <c r="H109">
        <v>3</v>
      </c>
      <c r="I109" t="s">
        <v>360</v>
      </c>
      <c r="J109" t="s">
        <v>361</v>
      </c>
      <c r="K109" t="s">
        <v>362</v>
      </c>
      <c r="L109">
        <v>1346</v>
      </c>
      <c r="N109">
        <v>1009</v>
      </c>
      <c r="O109" t="s">
        <v>228</v>
      </c>
      <c r="P109" t="s">
        <v>228</v>
      </c>
      <c r="Q109">
        <v>1</v>
      </c>
      <c r="X109">
        <v>0.3</v>
      </c>
      <c r="Y109">
        <v>171.21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0.3</v>
      </c>
      <c r="AH109">
        <v>2</v>
      </c>
      <c r="AI109">
        <v>42319957</v>
      </c>
      <c r="AJ109">
        <v>111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ROW(Source!A219)</f>
        <v>219</v>
      </c>
      <c r="B110">
        <v>42319958</v>
      </c>
      <c r="C110">
        <v>42319935</v>
      </c>
      <c r="D110">
        <v>40682177</v>
      </c>
      <c r="E110">
        <v>1</v>
      </c>
      <c r="F110">
        <v>1</v>
      </c>
      <c r="G110">
        <v>27</v>
      </c>
      <c r="H110">
        <v>3</v>
      </c>
      <c r="I110" t="s">
        <v>303</v>
      </c>
      <c r="J110" t="s">
        <v>304</v>
      </c>
      <c r="K110" t="s">
        <v>305</v>
      </c>
      <c r="L110">
        <v>1339</v>
      </c>
      <c r="N110">
        <v>1007</v>
      </c>
      <c r="O110" t="s">
        <v>38</v>
      </c>
      <c r="P110" t="s">
        <v>38</v>
      </c>
      <c r="Q110">
        <v>1</v>
      </c>
      <c r="X110">
        <v>2.6</v>
      </c>
      <c r="Y110">
        <v>35.25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2.6</v>
      </c>
      <c r="AH110">
        <v>2</v>
      </c>
      <c r="AI110">
        <v>42319958</v>
      </c>
      <c r="AJ110">
        <v>112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ROW(Source!A219)</f>
        <v>219</v>
      </c>
      <c r="B111">
        <v>42319959</v>
      </c>
      <c r="C111">
        <v>42319935</v>
      </c>
      <c r="D111">
        <v>40683910</v>
      </c>
      <c r="E111">
        <v>1</v>
      </c>
      <c r="F111">
        <v>1</v>
      </c>
      <c r="G111">
        <v>27</v>
      </c>
      <c r="H111">
        <v>3</v>
      </c>
      <c r="I111" t="s">
        <v>363</v>
      </c>
      <c r="J111" t="s">
        <v>364</v>
      </c>
      <c r="K111" t="s">
        <v>365</v>
      </c>
      <c r="L111">
        <v>1339</v>
      </c>
      <c r="N111">
        <v>1007</v>
      </c>
      <c r="O111" t="s">
        <v>38</v>
      </c>
      <c r="P111" t="s">
        <v>38</v>
      </c>
      <c r="Q111">
        <v>1</v>
      </c>
      <c r="X111">
        <v>0.15840000000000001</v>
      </c>
      <c r="Y111">
        <v>3467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0.15840000000000001</v>
      </c>
      <c r="AH111">
        <v>2</v>
      </c>
      <c r="AI111">
        <v>42319959</v>
      </c>
      <c r="AJ111">
        <v>114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ROW(Source!A219)</f>
        <v>219</v>
      </c>
      <c r="B112">
        <v>42319960</v>
      </c>
      <c r="C112">
        <v>42319935</v>
      </c>
      <c r="D112">
        <v>40662909</v>
      </c>
      <c r="E112">
        <v>27</v>
      </c>
      <c r="F112">
        <v>1</v>
      </c>
      <c r="G112">
        <v>27</v>
      </c>
      <c r="H112">
        <v>3</v>
      </c>
      <c r="I112" t="s">
        <v>421</v>
      </c>
      <c r="J112" t="s">
        <v>3</v>
      </c>
      <c r="K112" t="s">
        <v>422</v>
      </c>
      <c r="L112">
        <v>1354</v>
      </c>
      <c r="N112">
        <v>1010</v>
      </c>
      <c r="O112" t="s">
        <v>214</v>
      </c>
      <c r="P112" t="s">
        <v>214</v>
      </c>
      <c r="Q112">
        <v>1</v>
      </c>
      <c r="X112">
        <v>10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 t="s">
        <v>3</v>
      </c>
      <c r="AG112">
        <v>10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ROW(Source!A255)</f>
        <v>255</v>
      </c>
      <c r="B113">
        <v>42186991</v>
      </c>
      <c r="C113">
        <v>42186979</v>
      </c>
      <c r="D113">
        <v>40662784</v>
      </c>
      <c r="E113">
        <v>27</v>
      </c>
      <c r="F113">
        <v>1</v>
      </c>
      <c r="G113">
        <v>27</v>
      </c>
      <c r="H113">
        <v>1</v>
      </c>
      <c r="I113" t="s">
        <v>272</v>
      </c>
      <c r="J113" t="s">
        <v>3</v>
      </c>
      <c r="K113" t="s">
        <v>273</v>
      </c>
      <c r="L113">
        <v>1191</v>
      </c>
      <c r="N113">
        <v>1013</v>
      </c>
      <c r="O113" t="s">
        <v>274</v>
      </c>
      <c r="P113" t="s">
        <v>274</v>
      </c>
      <c r="Q113">
        <v>1</v>
      </c>
      <c r="X113">
        <v>18.440000000000001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1</v>
      </c>
      <c r="AF113" t="s">
        <v>3</v>
      </c>
      <c r="AG113">
        <v>18.440000000000001</v>
      </c>
      <c r="AH113">
        <v>2</v>
      </c>
      <c r="AI113">
        <v>42186980</v>
      </c>
      <c r="AJ113">
        <v>115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ROW(Source!A255)</f>
        <v>255</v>
      </c>
      <c r="B114">
        <v>42186992</v>
      </c>
      <c r="C114">
        <v>42186979</v>
      </c>
      <c r="D114">
        <v>40679964</v>
      </c>
      <c r="E114">
        <v>1</v>
      </c>
      <c r="F114">
        <v>1</v>
      </c>
      <c r="G114">
        <v>27</v>
      </c>
      <c r="H114">
        <v>2</v>
      </c>
      <c r="I114" t="s">
        <v>366</v>
      </c>
      <c r="J114" t="s">
        <v>367</v>
      </c>
      <c r="K114" t="s">
        <v>368</v>
      </c>
      <c r="L114">
        <v>1368</v>
      </c>
      <c r="N114">
        <v>1011</v>
      </c>
      <c r="O114" t="s">
        <v>278</v>
      </c>
      <c r="P114" t="s">
        <v>278</v>
      </c>
      <c r="Q114">
        <v>1</v>
      </c>
      <c r="X114">
        <v>2.64</v>
      </c>
      <c r="Y114">
        <v>0</v>
      </c>
      <c r="Z114">
        <v>531.41</v>
      </c>
      <c r="AA114">
        <v>373.56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2.64</v>
      </c>
      <c r="AH114">
        <v>2</v>
      </c>
      <c r="AI114">
        <v>42186981</v>
      </c>
      <c r="AJ114">
        <v>116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ROW(Source!A255)</f>
        <v>255</v>
      </c>
      <c r="B115">
        <v>42186993</v>
      </c>
      <c r="C115">
        <v>42186979</v>
      </c>
      <c r="D115">
        <v>40680187</v>
      </c>
      <c r="E115">
        <v>1</v>
      </c>
      <c r="F115">
        <v>1</v>
      </c>
      <c r="G115">
        <v>27</v>
      </c>
      <c r="H115">
        <v>2</v>
      </c>
      <c r="I115" t="s">
        <v>369</v>
      </c>
      <c r="J115" t="s">
        <v>370</v>
      </c>
      <c r="K115" t="s">
        <v>371</v>
      </c>
      <c r="L115">
        <v>1368</v>
      </c>
      <c r="N115">
        <v>1011</v>
      </c>
      <c r="O115" t="s">
        <v>278</v>
      </c>
      <c r="P115" t="s">
        <v>278</v>
      </c>
      <c r="Q115">
        <v>1</v>
      </c>
      <c r="X115">
        <v>1.18</v>
      </c>
      <c r="Y115">
        <v>0</v>
      </c>
      <c r="Z115">
        <v>7.44</v>
      </c>
      <c r="AA115">
        <v>0.98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1.18</v>
      </c>
      <c r="AH115">
        <v>2</v>
      </c>
      <c r="AI115">
        <v>42186982</v>
      </c>
      <c r="AJ115">
        <v>117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ROW(Source!A255)</f>
        <v>255</v>
      </c>
      <c r="B116">
        <v>42186994</v>
      </c>
      <c r="C116">
        <v>42186979</v>
      </c>
      <c r="D116">
        <v>40679389</v>
      </c>
      <c r="E116">
        <v>1</v>
      </c>
      <c r="F116">
        <v>1</v>
      </c>
      <c r="G116">
        <v>27</v>
      </c>
      <c r="H116">
        <v>2</v>
      </c>
      <c r="I116" t="s">
        <v>372</v>
      </c>
      <c r="J116" t="s">
        <v>373</v>
      </c>
      <c r="K116" t="s">
        <v>374</v>
      </c>
      <c r="L116">
        <v>1368</v>
      </c>
      <c r="N116">
        <v>1011</v>
      </c>
      <c r="O116" t="s">
        <v>278</v>
      </c>
      <c r="P116" t="s">
        <v>278</v>
      </c>
      <c r="Q116">
        <v>1</v>
      </c>
      <c r="X116">
        <v>0.01</v>
      </c>
      <c r="Y116">
        <v>0</v>
      </c>
      <c r="Z116">
        <v>616.73</v>
      </c>
      <c r="AA116">
        <v>511.29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42186983</v>
      </c>
      <c r="AJ116">
        <v>118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ROW(Source!A255)</f>
        <v>255</v>
      </c>
      <c r="B117">
        <v>42186995</v>
      </c>
      <c r="C117">
        <v>42186979</v>
      </c>
      <c r="D117">
        <v>40679573</v>
      </c>
      <c r="E117">
        <v>1</v>
      </c>
      <c r="F117">
        <v>1</v>
      </c>
      <c r="G117">
        <v>27</v>
      </c>
      <c r="H117">
        <v>2</v>
      </c>
      <c r="I117" t="s">
        <v>375</v>
      </c>
      <c r="J117" t="s">
        <v>376</v>
      </c>
      <c r="K117" t="s">
        <v>377</v>
      </c>
      <c r="L117">
        <v>1368</v>
      </c>
      <c r="N117">
        <v>1011</v>
      </c>
      <c r="O117" t="s">
        <v>278</v>
      </c>
      <c r="P117" t="s">
        <v>278</v>
      </c>
      <c r="Q117">
        <v>1</v>
      </c>
      <c r="X117">
        <v>2.64</v>
      </c>
      <c r="Y117">
        <v>0</v>
      </c>
      <c r="Z117">
        <v>454.31</v>
      </c>
      <c r="AA117">
        <v>405.68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2.64</v>
      </c>
      <c r="AH117">
        <v>2</v>
      </c>
      <c r="AI117">
        <v>42186984</v>
      </c>
      <c r="AJ117">
        <v>119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ROW(Source!A255)</f>
        <v>255</v>
      </c>
      <c r="B118">
        <v>42186996</v>
      </c>
      <c r="C118">
        <v>42186979</v>
      </c>
      <c r="D118">
        <v>40682398</v>
      </c>
      <c r="E118">
        <v>1</v>
      </c>
      <c r="F118">
        <v>1</v>
      </c>
      <c r="G118">
        <v>27</v>
      </c>
      <c r="H118">
        <v>3</v>
      </c>
      <c r="I118" t="s">
        <v>221</v>
      </c>
      <c r="J118" t="s">
        <v>224</v>
      </c>
      <c r="K118" t="s">
        <v>222</v>
      </c>
      <c r="L118">
        <v>1327</v>
      </c>
      <c r="N118">
        <v>1005</v>
      </c>
      <c r="O118" t="s">
        <v>223</v>
      </c>
      <c r="P118" t="s">
        <v>223</v>
      </c>
      <c r="Q118">
        <v>1</v>
      </c>
      <c r="X118">
        <v>5.6</v>
      </c>
      <c r="Y118">
        <v>12.02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5.6</v>
      </c>
      <c r="AH118">
        <v>2</v>
      </c>
      <c r="AI118">
        <v>42186985</v>
      </c>
      <c r="AJ118">
        <v>120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ROW(Source!A255)</f>
        <v>255</v>
      </c>
      <c r="B119">
        <v>42186997</v>
      </c>
      <c r="C119">
        <v>42186979</v>
      </c>
      <c r="D119">
        <v>40682485</v>
      </c>
      <c r="E119">
        <v>1</v>
      </c>
      <c r="F119">
        <v>1</v>
      </c>
      <c r="G119">
        <v>27</v>
      </c>
      <c r="H119">
        <v>3</v>
      </c>
      <c r="I119" t="s">
        <v>378</v>
      </c>
      <c r="J119" t="s">
        <v>379</v>
      </c>
      <c r="K119" t="s">
        <v>380</v>
      </c>
      <c r="L119">
        <v>1348</v>
      </c>
      <c r="N119">
        <v>1009</v>
      </c>
      <c r="O119" t="s">
        <v>68</v>
      </c>
      <c r="P119" t="s">
        <v>68</v>
      </c>
      <c r="Q119">
        <v>1000</v>
      </c>
      <c r="X119">
        <v>3.15E-3</v>
      </c>
      <c r="Y119">
        <v>343020.03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3.15E-3</v>
      </c>
      <c r="AH119">
        <v>2</v>
      </c>
      <c r="AI119">
        <v>42186986</v>
      </c>
      <c r="AJ119">
        <v>121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ROW(Source!A255)</f>
        <v>255</v>
      </c>
      <c r="B120">
        <v>42186998</v>
      </c>
      <c r="C120">
        <v>42186979</v>
      </c>
      <c r="D120">
        <v>40682702</v>
      </c>
      <c r="E120">
        <v>1</v>
      </c>
      <c r="F120">
        <v>1</v>
      </c>
      <c r="G120">
        <v>27</v>
      </c>
      <c r="H120">
        <v>3</v>
      </c>
      <c r="I120" t="s">
        <v>226</v>
      </c>
      <c r="J120" t="s">
        <v>229</v>
      </c>
      <c r="K120" t="s">
        <v>227</v>
      </c>
      <c r="L120">
        <v>1346</v>
      </c>
      <c r="N120">
        <v>1009</v>
      </c>
      <c r="O120" t="s">
        <v>228</v>
      </c>
      <c r="P120" t="s">
        <v>228</v>
      </c>
      <c r="Q120">
        <v>1</v>
      </c>
      <c r="X120">
        <v>735</v>
      </c>
      <c r="Y120">
        <v>17.77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735</v>
      </c>
      <c r="AH120">
        <v>2</v>
      </c>
      <c r="AI120">
        <v>42186987</v>
      </c>
      <c r="AJ120">
        <v>122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ROW(Source!A255)</f>
        <v>255</v>
      </c>
      <c r="B121">
        <v>42186999</v>
      </c>
      <c r="C121">
        <v>42186979</v>
      </c>
      <c r="D121">
        <v>40682709</v>
      </c>
      <c r="E121">
        <v>1</v>
      </c>
      <c r="F121">
        <v>1</v>
      </c>
      <c r="G121">
        <v>27</v>
      </c>
      <c r="H121">
        <v>3</v>
      </c>
      <c r="I121" t="s">
        <v>381</v>
      </c>
      <c r="J121" t="s">
        <v>382</v>
      </c>
      <c r="K121" t="s">
        <v>383</v>
      </c>
      <c r="L121">
        <v>1346</v>
      </c>
      <c r="N121">
        <v>1009</v>
      </c>
      <c r="O121" t="s">
        <v>228</v>
      </c>
      <c r="P121" t="s">
        <v>228</v>
      </c>
      <c r="Q121">
        <v>1</v>
      </c>
      <c r="X121">
        <v>241.5</v>
      </c>
      <c r="Y121">
        <v>202.34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241.5</v>
      </c>
      <c r="AH121">
        <v>2</v>
      </c>
      <c r="AI121">
        <v>42186988</v>
      </c>
      <c r="AJ121">
        <v>124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ROW(Source!A255)</f>
        <v>255</v>
      </c>
      <c r="B122">
        <v>42187000</v>
      </c>
      <c r="C122">
        <v>42186979</v>
      </c>
      <c r="D122">
        <v>40680676</v>
      </c>
      <c r="E122">
        <v>1</v>
      </c>
      <c r="F122">
        <v>1</v>
      </c>
      <c r="G122">
        <v>27</v>
      </c>
      <c r="H122">
        <v>3</v>
      </c>
      <c r="I122" t="s">
        <v>384</v>
      </c>
      <c r="J122" t="s">
        <v>385</v>
      </c>
      <c r="K122" t="s">
        <v>386</v>
      </c>
      <c r="L122">
        <v>1348</v>
      </c>
      <c r="N122">
        <v>1009</v>
      </c>
      <c r="O122" t="s">
        <v>68</v>
      </c>
      <c r="P122" t="s">
        <v>68</v>
      </c>
      <c r="Q122">
        <v>1000</v>
      </c>
      <c r="X122">
        <v>5.2499999999999998E-2</v>
      </c>
      <c r="Y122">
        <v>748299.67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5.2499999999999998E-2</v>
      </c>
      <c r="AH122">
        <v>2</v>
      </c>
      <c r="AI122">
        <v>42186989</v>
      </c>
      <c r="AJ122">
        <v>125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ROW(Source!A296)</f>
        <v>296</v>
      </c>
      <c r="B123">
        <v>42187008</v>
      </c>
      <c r="C123">
        <v>42187004</v>
      </c>
      <c r="D123">
        <v>40662784</v>
      </c>
      <c r="E123">
        <v>27</v>
      </c>
      <c r="F123">
        <v>1</v>
      </c>
      <c r="G123">
        <v>27</v>
      </c>
      <c r="H123">
        <v>1</v>
      </c>
      <c r="I123" t="s">
        <v>272</v>
      </c>
      <c r="J123" t="s">
        <v>3</v>
      </c>
      <c r="K123" t="s">
        <v>273</v>
      </c>
      <c r="L123">
        <v>1191</v>
      </c>
      <c r="N123">
        <v>1013</v>
      </c>
      <c r="O123" t="s">
        <v>274</v>
      </c>
      <c r="P123" t="s">
        <v>274</v>
      </c>
      <c r="Q123">
        <v>1</v>
      </c>
      <c r="X123">
        <v>1.59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 t="s">
        <v>3</v>
      </c>
      <c r="AG123">
        <v>1.59</v>
      </c>
      <c r="AH123">
        <v>2</v>
      </c>
      <c r="AI123">
        <v>42187005</v>
      </c>
      <c r="AJ123">
        <v>126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ROW(Source!A296)</f>
        <v>296</v>
      </c>
      <c r="B124">
        <v>42187009</v>
      </c>
      <c r="C124">
        <v>42187004</v>
      </c>
      <c r="D124">
        <v>40679275</v>
      </c>
      <c r="E124">
        <v>1</v>
      </c>
      <c r="F124">
        <v>1</v>
      </c>
      <c r="G124">
        <v>27</v>
      </c>
      <c r="H124">
        <v>2</v>
      </c>
      <c r="I124" t="s">
        <v>275</v>
      </c>
      <c r="J124" t="s">
        <v>276</v>
      </c>
      <c r="K124" t="s">
        <v>277</v>
      </c>
      <c r="L124">
        <v>1368</v>
      </c>
      <c r="N124">
        <v>1011</v>
      </c>
      <c r="O124" t="s">
        <v>278</v>
      </c>
      <c r="P124" t="s">
        <v>278</v>
      </c>
      <c r="Q124">
        <v>1</v>
      </c>
      <c r="X124">
        <v>4.9800000000000004</v>
      </c>
      <c r="Y124">
        <v>0</v>
      </c>
      <c r="Z124">
        <v>1493.72</v>
      </c>
      <c r="AA124">
        <v>566.86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4.9800000000000004</v>
      </c>
      <c r="AH124">
        <v>2</v>
      </c>
      <c r="AI124">
        <v>42187006</v>
      </c>
      <c r="AJ124">
        <v>127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ROW(Source!A296)</f>
        <v>296</v>
      </c>
      <c r="B125">
        <v>42187010</v>
      </c>
      <c r="C125">
        <v>42187004</v>
      </c>
      <c r="D125">
        <v>40679298</v>
      </c>
      <c r="E125">
        <v>1</v>
      </c>
      <c r="F125">
        <v>1</v>
      </c>
      <c r="G125">
        <v>27</v>
      </c>
      <c r="H125">
        <v>2</v>
      </c>
      <c r="I125" t="s">
        <v>279</v>
      </c>
      <c r="J125" t="s">
        <v>280</v>
      </c>
      <c r="K125" t="s">
        <v>281</v>
      </c>
      <c r="L125">
        <v>1368</v>
      </c>
      <c r="N125">
        <v>1011</v>
      </c>
      <c r="O125" t="s">
        <v>278</v>
      </c>
      <c r="P125" t="s">
        <v>278</v>
      </c>
      <c r="Q125">
        <v>1</v>
      </c>
      <c r="X125">
        <v>1.25</v>
      </c>
      <c r="Y125">
        <v>0</v>
      </c>
      <c r="Z125">
        <v>1072.23</v>
      </c>
      <c r="AA125">
        <v>488.73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1.25</v>
      </c>
      <c r="AH125">
        <v>2</v>
      </c>
      <c r="AI125">
        <v>42187007</v>
      </c>
      <c r="AJ125">
        <v>128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ROW(Source!A297)</f>
        <v>297</v>
      </c>
      <c r="B126">
        <v>42187013</v>
      </c>
      <c r="C126">
        <v>42187011</v>
      </c>
      <c r="D126">
        <v>40662784</v>
      </c>
      <c r="E126">
        <v>27</v>
      </c>
      <c r="F126">
        <v>1</v>
      </c>
      <c r="G126">
        <v>27</v>
      </c>
      <c r="H126">
        <v>1</v>
      </c>
      <c r="I126" t="s">
        <v>272</v>
      </c>
      <c r="J126" t="s">
        <v>3</v>
      </c>
      <c r="K126" t="s">
        <v>273</v>
      </c>
      <c r="L126">
        <v>1191</v>
      </c>
      <c r="N126">
        <v>1013</v>
      </c>
      <c r="O126" t="s">
        <v>274</v>
      </c>
      <c r="P126" t="s">
        <v>274</v>
      </c>
      <c r="Q126">
        <v>1</v>
      </c>
      <c r="X126">
        <v>221.6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1</v>
      </c>
      <c r="AF126" t="s">
        <v>3</v>
      </c>
      <c r="AG126">
        <v>221.6</v>
      </c>
      <c r="AH126">
        <v>2</v>
      </c>
      <c r="AI126">
        <v>42187012</v>
      </c>
      <c r="AJ126">
        <v>129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ROW(Source!A298)</f>
        <v>298</v>
      </c>
      <c r="B127">
        <v>42187016</v>
      </c>
      <c r="C127">
        <v>42187014</v>
      </c>
      <c r="D127">
        <v>40662784</v>
      </c>
      <c r="E127">
        <v>27</v>
      </c>
      <c r="F127">
        <v>1</v>
      </c>
      <c r="G127">
        <v>27</v>
      </c>
      <c r="H127">
        <v>1</v>
      </c>
      <c r="I127" t="s">
        <v>272</v>
      </c>
      <c r="J127" t="s">
        <v>3</v>
      </c>
      <c r="K127" t="s">
        <v>273</v>
      </c>
      <c r="L127">
        <v>1191</v>
      </c>
      <c r="N127">
        <v>1013</v>
      </c>
      <c r="O127" t="s">
        <v>274</v>
      </c>
      <c r="P127" t="s">
        <v>274</v>
      </c>
      <c r="Q127">
        <v>1</v>
      </c>
      <c r="X127">
        <v>83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1</v>
      </c>
      <c r="AF127" t="s">
        <v>3</v>
      </c>
      <c r="AG127">
        <v>83</v>
      </c>
      <c r="AH127">
        <v>2</v>
      </c>
      <c r="AI127">
        <v>42187015</v>
      </c>
      <c r="AJ127">
        <v>130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ROW(Source!A299)</f>
        <v>299</v>
      </c>
      <c r="B128">
        <v>42187019</v>
      </c>
      <c r="C128">
        <v>42187017</v>
      </c>
      <c r="D128">
        <v>40680075</v>
      </c>
      <c r="E128">
        <v>1</v>
      </c>
      <c r="F128">
        <v>1</v>
      </c>
      <c r="G128">
        <v>27</v>
      </c>
      <c r="H128">
        <v>2</v>
      </c>
      <c r="I128" t="s">
        <v>282</v>
      </c>
      <c r="J128" t="s">
        <v>283</v>
      </c>
      <c r="K128" t="s">
        <v>284</v>
      </c>
      <c r="L128">
        <v>1368</v>
      </c>
      <c r="N128">
        <v>1011</v>
      </c>
      <c r="O128" t="s">
        <v>278</v>
      </c>
      <c r="P128" t="s">
        <v>278</v>
      </c>
      <c r="Q128">
        <v>1</v>
      </c>
      <c r="X128">
        <v>3.1E-2</v>
      </c>
      <c r="Y128">
        <v>0</v>
      </c>
      <c r="Z128">
        <v>1014.12</v>
      </c>
      <c r="AA128">
        <v>317.13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3.1E-2</v>
      </c>
      <c r="AH128">
        <v>2</v>
      </c>
      <c r="AI128">
        <v>42187018</v>
      </c>
      <c r="AJ128">
        <v>131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ROW(Source!A300)</f>
        <v>300</v>
      </c>
      <c r="B129">
        <v>42187022</v>
      </c>
      <c r="C129">
        <v>42187020</v>
      </c>
      <c r="D129">
        <v>40680075</v>
      </c>
      <c r="E129">
        <v>1</v>
      </c>
      <c r="F129">
        <v>1</v>
      </c>
      <c r="G129">
        <v>27</v>
      </c>
      <c r="H129">
        <v>2</v>
      </c>
      <c r="I129" t="s">
        <v>282</v>
      </c>
      <c r="J129" t="s">
        <v>283</v>
      </c>
      <c r="K129" t="s">
        <v>284</v>
      </c>
      <c r="L129">
        <v>1368</v>
      </c>
      <c r="N129">
        <v>1011</v>
      </c>
      <c r="O129" t="s">
        <v>278</v>
      </c>
      <c r="P129" t="s">
        <v>278</v>
      </c>
      <c r="Q129">
        <v>1</v>
      </c>
      <c r="X129">
        <v>0.01</v>
      </c>
      <c r="Y129">
        <v>0</v>
      </c>
      <c r="Z129">
        <v>1014.12</v>
      </c>
      <c r="AA129">
        <v>317.13</v>
      </c>
      <c r="AB129">
        <v>0</v>
      </c>
      <c r="AC129">
        <v>0</v>
      </c>
      <c r="AD129">
        <v>1</v>
      </c>
      <c r="AE129">
        <v>0</v>
      </c>
      <c r="AF129" t="s">
        <v>45</v>
      </c>
      <c r="AG129">
        <v>0.54</v>
      </c>
      <c r="AH129">
        <v>2</v>
      </c>
      <c r="AI129">
        <v>42187021</v>
      </c>
      <c r="AJ129">
        <v>132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ROW(Source!A302)</f>
        <v>302</v>
      </c>
      <c r="B130">
        <v>42187032</v>
      </c>
      <c r="C130">
        <v>42187023</v>
      </c>
      <c r="D130">
        <v>40662784</v>
      </c>
      <c r="E130">
        <v>27</v>
      </c>
      <c r="F130">
        <v>1</v>
      </c>
      <c r="G130">
        <v>27</v>
      </c>
      <c r="H130">
        <v>1</v>
      </c>
      <c r="I130" t="s">
        <v>272</v>
      </c>
      <c r="J130" t="s">
        <v>3</v>
      </c>
      <c r="K130" t="s">
        <v>273</v>
      </c>
      <c r="L130">
        <v>1191</v>
      </c>
      <c r="N130">
        <v>1013</v>
      </c>
      <c r="O130" t="s">
        <v>274</v>
      </c>
      <c r="P130" t="s">
        <v>274</v>
      </c>
      <c r="Q130">
        <v>1</v>
      </c>
      <c r="X130">
        <v>16.559999999999999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1</v>
      </c>
      <c r="AF130" t="s">
        <v>3</v>
      </c>
      <c r="AG130">
        <v>16.559999999999999</v>
      </c>
      <c r="AH130">
        <v>2</v>
      </c>
      <c r="AI130">
        <v>42187024</v>
      </c>
      <c r="AJ130">
        <v>133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ROW(Source!A302)</f>
        <v>302</v>
      </c>
      <c r="B131">
        <v>42187033</v>
      </c>
      <c r="C131">
        <v>42187023</v>
      </c>
      <c r="D131">
        <v>40679320</v>
      </c>
      <c r="E131">
        <v>1</v>
      </c>
      <c r="F131">
        <v>1</v>
      </c>
      <c r="G131">
        <v>27</v>
      </c>
      <c r="H131">
        <v>2</v>
      </c>
      <c r="I131" t="s">
        <v>285</v>
      </c>
      <c r="J131" t="s">
        <v>286</v>
      </c>
      <c r="K131" t="s">
        <v>287</v>
      </c>
      <c r="L131">
        <v>1368</v>
      </c>
      <c r="N131">
        <v>1011</v>
      </c>
      <c r="O131" t="s">
        <v>278</v>
      </c>
      <c r="P131" t="s">
        <v>278</v>
      </c>
      <c r="Q131">
        <v>1</v>
      </c>
      <c r="X131">
        <v>2.08</v>
      </c>
      <c r="Y131">
        <v>0</v>
      </c>
      <c r="Z131">
        <v>740.94</v>
      </c>
      <c r="AA131">
        <v>413.22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2.08</v>
      </c>
      <c r="AH131">
        <v>2</v>
      </c>
      <c r="AI131">
        <v>42187025</v>
      </c>
      <c r="AJ131">
        <v>134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ROW(Source!A302)</f>
        <v>302</v>
      </c>
      <c r="B132">
        <v>42187034</v>
      </c>
      <c r="C132">
        <v>42187023</v>
      </c>
      <c r="D132">
        <v>40679475</v>
      </c>
      <c r="E132">
        <v>1</v>
      </c>
      <c r="F132">
        <v>1</v>
      </c>
      <c r="G132">
        <v>27</v>
      </c>
      <c r="H132">
        <v>2</v>
      </c>
      <c r="I132" t="s">
        <v>288</v>
      </c>
      <c r="J132" t="s">
        <v>289</v>
      </c>
      <c r="K132" t="s">
        <v>290</v>
      </c>
      <c r="L132">
        <v>1368</v>
      </c>
      <c r="N132">
        <v>1011</v>
      </c>
      <c r="O132" t="s">
        <v>278</v>
      </c>
      <c r="P132" t="s">
        <v>278</v>
      </c>
      <c r="Q132">
        <v>1</v>
      </c>
      <c r="X132">
        <v>2.08</v>
      </c>
      <c r="Y132">
        <v>0</v>
      </c>
      <c r="Z132">
        <v>430.32</v>
      </c>
      <c r="AA132">
        <v>215.31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2.08</v>
      </c>
      <c r="AH132">
        <v>2</v>
      </c>
      <c r="AI132">
        <v>42187026</v>
      </c>
      <c r="AJ132">
        <v>135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ROW(Source!A302)</f>
        <v>302</v>
      </c>
      <c r="B133">
        <v>42187035</v>
      </c>
      <c r="C133">
        <v>42187023</v>
      </c>
      <c r="D133">
        <v>40679478</v>
      </c>
      <c r="E133">
        <v>1</v>
      </c>
      <c r="F133">
        <v>1</v>
      </c>
      <c r="G133">
        <v>27</v>
      </c>
      <c r="H133">
        <v>2</v>
      </c>
      <c r="I133" t="s">
        <v>291</v>
      </c>
      <c r="J133" t="s">
        <v>292</v>
      </c>
      <c r="K133" t="s">
        <v>293</v>
      </c>
      <c r="L133">
        <v>1368</v>
      </c>
      <c r="N133">
        <v>1011</v>
      </c>
      <c r="O133" t="s">
        <v>278</v>
      </c>
      <c r="P133" t="s">
        <v>278</v>
      </c>
      <c r="Q133">
        <v>1</v>
      </c>
      <c r="X133">
        <v>0.81</v>
      </c>
      <c r="Y133">
        <v>0</v>
      </c>
      <c r="Z133">
        <v>2020.59</v>
      </c>
      <c r="AA133">
        <v>458.56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0.81</v>
      </c>
      <c r="AH133">
        <v>2</v>
      </c>
      <c r="AI133">
        <v>42187027</v>
      </c>
      <c r="AJ133">
        <v>136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ROW(Source!A302)</f>
        <v>302</v>
      </c>
      <c r="B134">
        <v>42187036</v>
      </c>
      <c r="C134">
        <v>42187023</v>
      </c>
      <c r="D134">
        <v>40679502</v>
      </c>
      <c r="E134">
        <v>1</v>
      </c>
      <c r="F134">
        <v>1</v>
      </c>
      <c r="G134">
        <v>27</v>
      </c>
      <c r="H134">
        <v>2</v>
      </c>
      <c r="I134" t="s">
        <v>294</v>
      </c>
      <c r="J134" t="s">
        <v>295</v>
      </c>
      <c r="K134" t="s">
        <v>296</v>
      </c>
      <c r="L134">
        <v>1368</v>
      </c>
      <c r="N134">
        <v>1011</v>
      </c>
      <c r="O134" t="s">
        <v>278</v>
      </c>
      <c r="P134" t="s">
        <v>278</v>
      </c>
      <c r="Q134">
        <v>1</v>
      </c>
      <c r="X134">
        <v>1.94</v>
      </c>
      <c r="Y134">
        <v>0</v>
      </c>
      <c r="Z134">
        <v>1412.71</v>
      </c>
      <c r="AA134">
        <v>641.32000000000005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1.94</v>
      </c>
      <c r="AH134">
        <v>2</v>
      </c>
      <c r="AI134">
        <v>42187028</v>
      </c>
      <c r="AJ134">
        <v>137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ROW(Source!A302)</f>
        <v>302</v>
      </c>
      <c r="B135">
        <v>42187037</v>
      </c>
      <c r="C135">
        <v>42187023</v>
      </c>
      <c r="D135">
        <v>40679468</v>
      </c>
      <c r="E135">
        <v>1</v>
      </c>
      <c r="F135">
        <v>1</v>
      </c>
      <c r="G135">
        <v>27</v>
      </c>
      <c r="H135">
        <v>2</v>
      </c>
      <c r="I135" t="s">
        <v>297</v>
      </c>
      <c r="J135" t="s">
        <v>298</v>
      </c>
      <c r="K135" t="s">
        <v>299</v>
      </c>
      <c r="L135">
        <v>1368</v>
      </c>
      <c r="N135">
        <v>1011</v>
      </c>
      <c r="O135" t="s">
        <v>278</v>
      </c>
      <c r="P135" t="s">
        <v>278</v>
      </c>
      <c r="Q135">
        <v>1</v>
      </c>
      <c r="X135">
        <v>0.65</v>
      </c>
      <c r="Y135">
        <v>0</v>
      </c>
      <c r="Z135">
        <v>1213.3399999999999</v>
      </c>
      <c r="AA135">
        <v>461.6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0.65</v>
      </c>
      <c r="AH135">
        <v>2</v>
      </c>
      <c r="AI135">
        <v>42187029</v>
      </c>
      <c r="AJ135">
        <v>138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ROW(Source!A302)</f>
        <v>302</v>
      </c>
      <c r="B136">
        <v>42187038</v>
      </c>
      <c r="C136">
        <v>42187023</v>
      </c>
      <c r="D136">
        <v>40681431</v>
      </c>
      <c r="E136">
        <v>1</v>
      </c>
      <c r="F136">
        <v>1</v>
      </c>
      <c r="G136">
        <v>27</v>
      </c>
      <c r="H136">
        <v>3</v>
      </c>
      <c r="I136" t="s">
        <v>300</v>
      </c>
      <c r="J136" t="s">
        <v>301</v>
      </c>
      <c r="K136" t="s">
        <v>302</v>
      </c>
      <c r="L136">
        <v>1339</v>
      </c>
      <c r="N136">
        <v>1007</v>
      </c>
      <c r="O136" t="s">
        <v>38</v>
      </c>
      <c r="P136" t="s">
        <v>38</v>
      </c>
      <c r="Q136">
        <v>1</v>
      </c>
      <c r="X136">
        <v>110</v>
      </c>
      <c r="Y136">
        <v>590.78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110</v>
      </c>
      <c r="AH136">
        <v>2</v>
      </c>
      <c r="AI136">
        <v>42187030</v>
      </c>
      <c r="AJ136">
        <v>139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ROW(Source!A302)</f>
        <v>302</v>
      </c>
      <c r="B137">
        <v>42187039</v>
      </c>
      <c r="C137">
        <v>42187023</v>
      </c>
      <c r="D137">
        <v>40682177</v>
      </c>
      <c r="E137">
        <v>1</v>
      </c>
      <c r="F137">
        <v>1</v>
      </c>
      <c r="G137">
        <v>27</v>
      </c>
      <c r="H137">
        <v>3</v>
      </c>
      <c r="I137" t="s">
        <v>303</v>
      </c>
      <c r="J137" t="s">
        <v>304</v>
      </c>
      <c r="K137" t="s">
        <v>305</v>
      </c>
      <c r="L137">
        <v>1339</v>
      </c>
      <c r="N137">
        <v>1007</v>
      </c>
      <c r="O137" t="s">
        <v>38</v>
      </c>
      <c r="P137" t="s">
        <v>38</v>
      </c>
      <c r="Q137">
        <v>1</v>
      </c>
      <c r="X137">
        <v>5</v>
      </c>
      <c r="Y137">
        <v>35.25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5</v>
      </c>
      <c r="AH137">
        <v>2</v>
      </c>
      <c r="AI137">
        <v>42187031</v>
      </c>
      <c r="AJ137">
        <v>140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ROW(Source!A303)</f>
        <v>303</v>
      </c>
      <c r="B138">
        <v>42187050</v>
      </c>
      <c r="C138">
        <v>42187040</v>
      </c>
      <c r="D138">
        <v>40662784</v>
      </c>
      <c r="E138">
        <v>27</v>
      </c>
      <c r="F138">
        <v>1</v>
      </c>
      <c r="G138">
        <v>27</v>
      </c>
      <c r="H138">
        <v>1</v>
      </c>
      <c r="I138" t="s">
        <v>272</v>
      </c>
      <c r="J138" t="s">
        <v>3</v>
      </c>
      <c r="K138" t="s">
        <v>273</v>
      </c>
      <c r="L138">
        <v>1191</v>
      </c>
      <c r="N138">
        <v>1013</v>
      </c>
      <c r="O138" t="s">
        <v>274</v>
      </c>
      <c r="P138" t="s">
        <v>274</v>
      </c>
      <c r="Q138">
        <v>1</v>
      </c>
      <c r="X138">
        <v>24.84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1</v>
      </c>
      <c r="AF138" t="s">
        <v>3</v>
      </c>
      <c r="AG138">
        <v>24.84</v>
      </c>
      <c r="AH138">
        <v>2</v>
      </c>
      <c r="AI138">
        <v>42187041</v>
      </c>
      <c r="AJ138">
        <v>141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ROW(Source!A303)</f>
        <v>303</v>
      </c>
      <c r="B139">
        <v>42187051</v>
      </c>
      <c r="C139">
        <v>42187040</v>
      </c>
      <c r="D139">
        <v>40679297</v>
      </c>
      <c r="E139">
        <v>1</v>
      </c>
      <c r="F139">
        <v>1</v>
      </c>
      <c r="G139">
        <v>27</v>
      </c>
      <c r="H139">
        <v>2</v>
      </c>
      <c r="I139" t="s">
        <v>306</v>
      </c>
      <c r="J139" t="s">
        <v>307</v>
      </c>
      <c r="K139" t="s">
        <v>308</v>
      </c>
      <c r="L139">
        <v>1368</v>
      </c>
      <c r="N139">
        <v>1011</v>
      </c>
      <c r="O139" t="s">
        <v>278</v>
      </c>
      <c r="P139" t="s">
        <v>278</v>
      </c>
      <c r="Q139">
        <v>1</v>
      </c>
      <c r="X139">
        <v>2.94</v>
      </c>
      <c r="Y139">
        <v>0</v>
      </c>
      <c r="Z139">
        <v>956.79</v>
      </c>
      <c r="AA139">
        <v>359.44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2.94</v>
      </c>
      <c r="AH139">
        <v>2</v>
      </c>
      <c r="AI139">
        <v>42187042</v>
      </c>
      <c r="AJ139">
        <v>142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ROW(Source!A303)</f>
        <v>303</v>
      </c>
      <c r="B140">
        <v>42187052</v>
      </c>
      <c r="C140">
        <v>42187040</v>
      </c>
      <c r="D140">
        <v>40679478</v>
      </c>
      <c r="E140">
        <v>1</v>
      </c>
      <c r="F140">
        <v>1</v>
      </c>
      <c r="G140">
        <v>27</v>
      </c>
      <c r="H140">
        <v>2</v>
      </c>
      <c r="I140" t="s">
        <v>291</v>
      </c>
      <c r="J140" t="s">
        <v>292</v>
      </c>
      <c r="K140" t="s">
        <v>293</v>
      </c>
      <c r="L140">
        <v>1368</v>
      </c>
      <c r="N140">
        <v>1011</v>
      </c>
      <c r="O140" t="s">
        <v>278</v>
      </c>
      <c r="P140" t="s">
        <v>278</v>
      </c>
      <c r="Q140">
        <v>1</v>
      </c>
      <c r="X140">
        <v>1.1399999999999999</v>
      </c>
      <c r="Y140">
        <v>0</v>
      </c>
      <c r="Z140">
        <v>2020.59</v>
      </c>
      <c r="AA140">
        <v>458.56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1.1399999999999999</v>
      </c>
      <c r="AH140">
        <v>2</v>
      </c>
      <c r="AI140">
        <v>42187043</v>
      </c>
      <c r="AJ140">
        <v>143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ROW(Source!A303)</f>
        <v>303</v>
      </c>
      <c r="B141">
        <v>42187053</v>
      </c>
      <c r="C141">
        <v>42187040</v>
      </c>
      <c r="D141">
        <v>40679463</v>
      </c>
      <c r="E141">
        <v>1</v>
      </c>
      <c r="F141">
        <v>1</v>
      </c>
      <c r="G141">
        <v>27</v>
      </c>
      <c r="H141">
        <v>2</v>
      </c>
      <c r="I141" t="s">
        <v>309</v>
      </c>
      <c r="J141" t="s">
        <v>310</v>
      </c>
      <c r="K141" t="s">
        <v>311</v>
      </c>
      <c r="L141">
        <v>1368</v>
      </c>
      <c r="N141">
        <v>1011</v>
      </c>
      <c r="O141" t="s">
        <v>278</v>
      </c>
      <c r="P141" t="s">
        <v>278</v>
      </c>
      <c r="Q141">
        <v>1</v>
      </c>
      <c r="X141">
        <v>8.9600000000000009</v>
      </c>
      <c r="Y141">
        <v>0</v>
      </c>
      <c r="Z141">
        <v>1261.8699999999999</v>
      </c>
      <c r="AA141">
        <v>530.02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8.9600000000000009</v>
      </c>
      <c r="AH141">
        <v>2</v>
      </c>
      <c r="AI141">
        <v>42187044</v>
      </c>
      <c r="AJ141">
        <v>144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ROW(Source!A303)</f>
        <v>303</v>
      </c>
      <c r="B142">
        <v>42187054</v>
      </c>
      <c r="C142">
        <v>42187040</v>
      </c>
      <c r="D142">
        <v>40679464</v>
      </c>
      <c r="E142">
        <v>1</v>
      </c>
      <c r="F142">
        <v>1</v>
      </c>
      <c r="G142">
        <v>27</v>
      </c>
      <c r="H142">
        <v>2</v>
      </c>
      <c r="I142" t="s">
        <v>312</v>
      </c>
      <c r="J142" t="s">
        <v>313</v>
      </c>
      <c r="K142" t="s">
        <v>314</v>
      </c>
      <c r="L142">
        <v>1368</v>
      </c>
      <c r="N142">
        <v>1011</v>
      </c>
      <c r="O142" t="s">
        <v>278</v>
      </c>
      <c r="P142" t="s">
        <v>278</v>
      </c>
      <c r="Q142">
        <v>1</v>
      </c>
      <c r="X142">
        <v>18.25</v>
      </c>
      <c r="Y142">
        <v>0</v>
      </c>
      <c r="Z142">
        <v>1827.95</v>
      </c>
      <c r="AA142">
        <v>720.55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18.25</v>
      </c>
      <c r="AH142">
        <v>2</v>
      </c>
      <c r="AI142">
        <v>42187045</v>
      </c>
      <c r="AJ142">
        <v>145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ROW(Source!A303)</f>
        <v>303</v>
      </c>
      <c r="B143">
        <v>42187055</v>
      </c>
      <c r="C143">
        <v>42187040</v>
      </c>
      <c r="D143">
        <v>40679502</v>
      </c>
      <c r="E143">
        <v>1</v>
      </c>
      <c r="F143">
        <v>1</v>
      </c>
      <c r="G143">
        <v>27</v>
      </c>
      <c r="H143">
        <v>2</v>
      </c>
      <c r="I143" t="s">
        <v>294</v>
      </c>
      <c r="J143" t="s">
        <v>295</v>
      </c>
      <c r="K143" t="s">
        <v>296</v>
      </c>
      <c r="L143">
        <v>1368</v>
      </c>
      <c r="N143">
        <v>1011</v>
      </c>
      <c r="O143" t="s">
        <v>278</v>
      </c>
      <c r="P143" t="s">
        <v>278</v>
      </c>
      <c r="Q143">
        <v>1</v>
      </c>
      <c r="X143">
        <v>2.2400000000000002</v>
      </c>
      <c r="Y143">
        <v>0</v>
      </c>
      <c r="Z143">
        <v>1412.71</v>
      </c>
      <c r="AA143">
        <v>641.32000000000005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2.2400000000000002</v>
      </c>
      <c r="AH143">
        <v>2</v>
      </c>
      <c r="AI143">
        <v>42187046</v>
      </c>
      <c r="AJ143">
        <v>146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ROW(Source!A303)</f>
        <v>303</v>
      </c>
      <c r="B144">
        <v>42187056</v>
      </c>
      <c r="C144">
        <v>42187040</v>
      </c>
      <c r="D144">
        <v>40679468</v>
      </c>
      <c r="E144">
        <v>1</v>
      </c>
      <c r="F144">
        <v>1</v>
      </c>
      <c r="G144">
        <v>27</v>
      </c>
      <c r="H144">
        <v>2</v>
      </c>
      <c r="I144" t="s">
        <v>297</v>
      </c>
      <c r="J144" t="s">
        <v>298</v>
      </c>
      <c r="K144" t="s">
        <v>299</v>
      </c>
      <c r="L144">
        <v>1368</v>
      </c>
      <c r="N144">
        <v>1011</v>
      </c>
      <c r="O144" t="s">
        <v>278</v>
      </c>
      <c r="P144" t="s">
        <v>278</v>
      </c>
      <c r="Q144">
        <v>1</v>
      </c>
      <c r="X144">
        <v>0.65</v>
      </c>
      <c r="Y144">
        <v>0</v>
      </c>
      <c r="Z144">
        <v>1213.3399999999999</v>
      </c>
      <c r="AA144">
        <v>461.6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0.65</v>
      </c>
      <c r="AH144">
        <v>2</v>
      </c>
      <c r="AI144">
        <v>42187047</v>
      </c>
      <c r="AJ144">
        <v>147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ROW(Source!A303)</f>
        <v>303</v>
      </c>
      <c r="B145">
        <v>42187057</v>
      </c>
      <c r="C145">
        <v>42187040</v>
      </c>
      <c r="D145">
        <v>40681457</v>
      </c>
      <c r="E145">
        <v>1</v>
      </c>
      <c r="F145">
        <v>1</v>
      </c>
      <c r="G145">
        <v>27</v>
      </c>
      <c r="H145">
        <v>3</v>
      </c>
      <c r="I145" t="s">
        <v>315</v>
      </c>
      <c r="J145" t="s">
        <v>316</v>
      </c>
      <c r="K145" t="s">
        <v>317</v>
      </c>
      <c r="L145">
        <v>1339</v>
      </c>
      <c r="N145">
        <v>1007</v>
      </c>
      <c r="O145" t="s">
        <v>38</v>
      </c>
      <c r="P145" t="s">
        <v>38</v>
      </c>
      <c r="Q145">
        <v>1</v>
      </c>
      <c r="X145">
        <v>126</v>
      </c>
      <c r="Y145">
        <v>1763.75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126</v>
      </c>
      <c r="AH145">
        <v>2</v>
      </c>
      <c r="AI145">
        <v>42187048</v>
      </c>
      <c r="AJ145">
        <v>148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ROW(Source!A303)</f>
        <v>303</v>
      </c>
      <c r="B146">
        <v>42187058</v>
      </c>
      <c r="C146">
        <v>42187040</v>
      </c>
      <c r="D146">
        <v>40682177</v>
      </c>
      <c r="E146">
        <v>1</v>
      </c>
      <c r="F146">
        <v>1</v>
      </c>
      <c r="G146">
        <v>27</v>
      </c>
      <c r="H146">
        <v>3</v>
      </c>
      <c r="I146" t="s">
        <v>303</v>
      </c>
      <c r="J146" t="s">
        <v>304</v>
      </c>
      <c r="K146" t="s">
        <v>305</v>
      </c>
      <c r="L146">
        <v>1339</v>
      </c>
      <c r="N146">
        <v>1007</v>
      </c>
      <c r="O146" t="s">
        <v>38</v>
      </c>
      <c r="P146" t="s">
        <v>38</v>
      </c>
      <c r="Q146">
        <v>1</v>
      </c>
      <c r="X146">
        <v>7</v>
      </c>
      <c r="Y146">
        <v>35.25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7</v>
      </c>
      <c r="AH146">
        <v>2</v>
      </c>
      <c r="AI146">
        <v>42187049</v>
      </c>
      <c r="AJ146">
        <v>149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ROW(Source!A304)</f>
        <v>304</v>
      </c>
      <c r="B147">
        <v>42187067</v>
      </c>
      <c r="C147">
        <v>42187059</v>
      </c>
      <c r="D147">
        <v>40662784</v>
      </c>
      <c r="E147">
        <v>27</v>
      </c>
      <c r="F147">
        <v>1</v>
      </c>
      <c r="G147">
        <v>27</v>
      </c>
      <c r="H147">
        <v>1</v>
      </c>
      <c r="I147" t="s">
        <v>272</v>
      </c>
      <c r="J147" t="s">
        <v>3</v>
      </c>
      <c r="K147" t="s">
        <v>273</v>
      </c>
      <c r="L147">
        <v>1191</v>
      </c>
      <c r="N147">
        <v>1013</v>
      </c>
      <c r="O147" t="s">
        <v>274</v>
      </c>
      <c r="P147" t="s">
        <v>274</v>
      </c>
      <c r="Q147">
        <v>1</v>
      </c>
      <c r="X147">
        <v>134.08000000000001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134.08000000000001</v>
      </c>
      <c r="AH147">
        <v>2</v>
      </c>
      <c r="AI147">
        <v>42187060</v>
      </c>
      <c r="AJ147">
        <v>150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ROW(Source!A304)</f>
        <v>304</v>
      </c>
      <c r="B148">
        <v>42187068</v>
      </c>
      <c r="C148">
        <v>42187059</v>
      </c>
      <c r="D148">
        <v>40679908</v>
      </c>
      <c r="E148">
        <v>1</v>
      </c>
      <c r="F148">
        <v>1</v>
      </c>
      <c r="G148">
        <v>27</v>
      </c>
      <c r="H148">
        <v>2</v>
      </c>
      <c r="I148" t="s">
        <v>387</v>
      </c>
      <c r="J148" t="s">
        <v>388</v>
      </c>
      <c r="K148" t="s">
        <v>389</v>
      </c>
      <c r="L148">
        <v>1368</v>
      </c>
      <c r="N148">
        <v>1011</v>
      </c>
      <c r="O148" t="s">
        <v>278</v>
      </c>
      <c r="P148" t="s">
        <v>278</v>
      </c>
      <c r="Q148">
        <v>1</v>
      </c>
      <c r="X148">
        <v>4.0999999999999996</v>
      </c>
      <c r="Y148">
        <v>0</v>
      </c>
      <c r="Z148">
        <v>94.06</v>
      </c>
      <c r="AA148">
        <v>4.3499999999999996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4.0999999999999996</v>
      </c>
      <c r="AH148">
        <v>2</v>
      </c>
      <c r="AI148">
        <v>42187061</v>
      </c>
      <c r="AJ148">
        <v>151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ROW(Source!A304)</f>
        <v>304</v>
      </c>
      <c r="B149">
        <v>42187069</v>
      </c>
      <c r="C149">
        <v>42187059</v>
      </c>
      <c r="D149">
        <v>40680123</v>
      </c>
      <c r="E149">
        <v>1</v>
      </c>
      <c r="F149">
        <v>1</v>
      </c>
      <c r="G149">
        <v>27</v>
      </c>
      <c r="H149">
        <v>2</v>
      </c>
      <c r="I149" t="s">
        <v>390</v>
      </c>
      <c r="J149" t="s">
        <v>391</v>
      </c>
      <c r="K149" t="s">
        <v>392</v>
      </c>
      <c r="L149">
        <v>1368</v>
      </c>
      <c r="N149">
        <v>1011</v>
      </c>
      <c r="O149" t="s">
        <v>278</v>
      </c>
      <c r="P149" t="s">
        <v>278</v>
      </c>
      <c r="Q149">
        <v>1</v>
      </c>
      <c r="X149">
        <v>2.1800000000000002</v>
      </c>
      <c r="Y149">
        <v>0</v>
      </c>
      <c r="Z149">
        <v>4.16</v>
      </c>
      <c r="AA149">
        <v>0.01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2.1800000000000002</v>
      </c>
      <c r="AH149">
        <v>2</v>
      </c>
      <c r="AI149">
        <v>42187062</v>
      </c>
      <c r="AJ149">
        <v>152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ROW(Source!A304)</f>
        <v>304</v>
      </c>
      <c r="B150">
        <v>42187070</v>
      </c>
      <c r="C150">
        <v>42187059</v>
      </c>
      <c r="D150">
        <v>40681432</v>
      </c>
      <c r="E150">
        <v>1</v>
      </c>
      <c r="F150">
        <v>1</v>
      </c>
      <c r="G150">
        <v>27</v>
      </c>
      <c r="H150">
        <v>3</v>
      </c>
      <c r="I150" t="s">
        <v>393</v>
      </c>
      <c r="J150" t="s">
        <v>394</v>
      </c>
      <c r="K150" t="s">
        <v>395</v>
      </c>
      <c r="L150">
        <v>1339</v>
      </c>
      <c r="N150">
        <v>1007</v>
      </c>
      <c r="O150" t="s">
        <v>38</v>
      </c>
      <c r="P150" t="s">
        <v>38</v>
      </c>
      <c r="Q150">
        <v>1</v>
      </c>
      <c r="X150">
        <v>0.21</v>
      </c>
      <c r="Y150">
        <v>590.78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0.21</v>
      </c>
      <c r="AH150">
        <v>2</v>
      </c>
      <c r="AI150">
        <v>42187063</v>
      </c>
      <c r="AJ150">
        <v>153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ROW(Source!A304)</f>
        <v>304</v>
      </c>
      <c r="B151">
        <v>42187071</v>
      </c>
      <c r="C151">
        <v>42187059</v>
      </c>
      <c r="D151">
        <v>40683256</v>
      </c>
      <c r="E151">
        <v>1</v>
      </c>
      <c r="F151">
        <v>1</v>
      </c>
      <c r="G151">
        <v>27</v>
      </c>
      <c r="H151">
        <v>3</v>
      </c>
      <c r="I151" t="s">
        <v>396</v>
      </c>
      <c r="J151" t="s">
        <v>397</v>
      </c>
      <c r="K151" t="s">
        <v>398</v>
      </c>
      <c r="L151">
        <v>1348</v>
      </c>
      <c r="N151">
        <v>1009</v>
      </c>
      <c r="O151" t="s">
        <v>68</v>
      </c>
      <c r="P151" t="s">
        <v>68</v>
      </c>
      <c r="Q151">
        <v>1000</v>
      </c>
      <c r="X151">
        <v>8.5299999999999994</v>
      </c>
      <c r="Y151">
        <v>3886.85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8.5299999999999994</v>
      </c>
      <c r="AH151">
        <v>2</v>
      </c>
      <c r="AI151">
        <v>42187064</v>
      </c>
      <c r="AJ151">
        <v>154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ROW(Source!A304)</f>
        <v>304</v>
      </c>
      <c r="B152">
        <v>42187072</v>
      </c>
      <c r="C152">
        <v>42187059</v>
      </c>
      <c r="D152">
        <v>40684416</v>
      </c>
      <c r="E152">
        <v>1</v>
      </c>
      <c r="F152">
        <v>1</v>
      </c>
      <c r="G152">
        <v>27</v>
      </c>
      <c r="H152">
        <v>3</v>
      </c>
      <c r="I152" t="s">
        <v>399</v>
      </c>
      <c r="J152" t="s">
        <v>400</v>
      </c>
      <c r="K152" t="s">
        <v>401</v>
      </c>
      <c r="L152">
        <v>1354</v>
      </c>
      <c r="N152">
        <v>1010</v>
      </c>
      <c r="O152" t="s">
        <v>214</v>
      </c>
      <c r="P152" t="s">
        <v>214</v>
      </c>
      <c r="Q152">
        <v>1</v>
      </c>
      <c r="X152">
        <v>1.5</v>
      </c>
      <c r="Y152">
        <v>5215.0200000000004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1.5</v>
      </c>
      <c r="AH152">
        <v>2</v>
      </c>
      <c r="AI152">
        <v>42187065</v>
      </c>
      <c r="AJ152">
        <v>156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ROW(Source!A304)</f>
        <v>304</v>
      </c>
      <c r="B153">
        <v>42187073</v>
      </c>
      <c r="C153">
        <v>42187059</v>
      </c>
      <c r="D153">
        <v>40663628</v>
      </c>
      <c r="E153">
        <v>27</v>
      </c>
      <c r="F153">
        <v>1</v>
      </c>
      <c r="G153">
        <v>27</v>
      </c>
      <c r="H153">
        <v>3</v>
      </c>
      <c r="I153" t="s">
        <v>423</v>
      </c>
      <c r="J153" t="s">
        <v>3</v>
      </c>
      <c r="K153" t="s">
        <v>424</v>
      </c>
      <c r="L153">
        <v>1327</v>
      </c>
      <c r="N153">
        <v>1005</v>
      </c>
      <c r="O153" t="s">
        <v>223</v>
      </c>
      <c r="P153" t="s">
        <v>223</v>
      </c>
      <c r="Q153">
        <v>1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0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ROW(Source!A343)</f>
        <v>343</v>
      </c>
      <c r="B154">
        <v>42319826</v>
      </c>
      <c r="C154">
        <v>42319824</v>
      </c>
      <c r="D154">
        <v>40662784</v>
      </c>
      <c r="E154">
        <v>27</v>
      </c>
      <c r="F154">
        <v>1</v>
      </c>
      <c r="G154">
        <v>27</v>
      </c>
      <c r="H154">
        <v>1</v>
      </c>
      <c r="I154" t="s">
        <v>272</v>
      </c>
      <c r="J154" t="s">
        <v>3</v>
      </c>
      <c r="K154" t="s">
        <v>273</v>
      </c>
      <c r="L154">
        <v>1191</v>
      </c>
      <c r="N154">
        <v>1013</v>
      </c>
      <c r="O154" t="s">
        <v>274</v>
      </c>
      <c r="P154" t="s">
        <v>274</v>
      </c>
      <c r="Q154">
        <v>1</v>
      </c>
      <c r="X154">
        <v>76.7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1</v>
      </c>
      <c r="AF154" t="s">
        <v>3</v>
      </c>
      <c r="AG154">
        <v>76.7</v>
      </c>
      <c r="AH154">
        <v>2</v>
      </c>
      <c r="AI154">
        <v>42319825</v>
      </c>
      <c r="AJ154">
        <v>157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ROW(Source!A344)</f>
        <v>344</v>
      </c>
      <c r="B155">
        <v>42319829</v>
      </c>
      <c r="C155">
        <v>42319827</v>
      </c>
      <c r="D155">
        <v>40662784</v>
      </c>
      <c r="E155">
        <v>27</v>
      </c>
      <c r="F155">
        <v>1</v>
      </c>
      <c r="G155">
        <v>27</v>
      </c>
      <c r="H155">
        <v>1</v>
      </c>
      <c r="I155" t="s">
        <v>272</v>
      </c>
      <c r="J155" t="s">
        <v>3</v>
      </c>
      <c r="K155" t="s">
        <v>273</v>
      </c>
      <c r="L155">
        <v>1191</v>
      </c>
      <c r="N155">
        <v>1013</v>
      </c>
      <c r="O155" t="s">
        <v>274</v>
      </c>
      <c r="P155" t="s">
        <v>274</v>
      </c>
      <c r="Q155">
        <v>1</v>
      </c>
      <c r="X155">
        <v>1.02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1</v>
      </c>
      <c r="AF155" t="s">
        <v>3</v>
      </c>
      <c r="AG155">
        <v>1.02</v>
      </c>
      <c r="AH155">
        <v>2</v>
      </c>
      <c r="AI155">
        <v>42319828</v>
      </c>
      <c r="AJ155">
        <v>158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ROW(Source!A345)</f>
        <v>345</v>
      </c>
      <c r="B156">
        <v>42319832</v>
      </c>
      <c r="C156">
        <v>42319830</v>
      </c>
      <c r="D156">
        <v>40679276</v>
      </c>
      <c r="E156">
        <v>1</v>
      </c>
      <c r="F156">
        <v>1</v>
      </c>
      <c r="G156">
        <v>27</v>
      </c>
      <c r="H156">
        <v>2</v>
      </c>
      <c r="I156" t="s">
        <v>321</v>
      </c>
      <c r="J156" t="s">
        <v>322</v>
      </c>
      <c r="K156" t="s">
        <v>323</v>
      </c>
      <c r="L156">
        <v>1368</v>
      </c>
      <c r="N156">
        <v>1011</v>
      </c>
      <c r="O156" t="s">
        <v>278</v>
      </c>
      <c r="P156" t="s">
        <v>278</v>
      </c>
      <c r="Q156">
        <v>1</v>
      </c>
      <c r="X156">
        <v>5.3699999999999998E-2</v>
      </c>
      <c r="Y156">
        <v>0</v>
      </c>
      <c r="Z156">
        <v>1494.43</v>
      </c>
      <c r="AA156">
        <v>481.21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5.3699999999999998E-2</v>
      </c>
      <c r="AH156">
        <v>2</v>
      </c>
      <c r="AI156">
        <v>42319831</v>
      </c>
      <c r="AJ156">
        <v>159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ROW(Source!A346)</f>
        <v>346</v>
      </c>
      <c r="B157">
        <v>42319836</v>
      </c>
      <c r="C157">
        <v>42319833</v>
      </c>
      <c r="D157">
        <v>40680074</v>
      </c>
      <c r="E157">
        <v>1</v>
      </c>
      <c r="F157">
        <v>1</v>
      </c>
      <c r="G157">
        <v>27</v>
      </c>
      <c r="H157">
        <v>2</v>
      </c>
      <c r="I157" t="s">
        <v>324</v>
      </c>
      <c r="J157" t="s">
        <v>325</v>
      </c>
      <c r="K157" t="s">
        <v>326</v>
      </c>
      <c r="L157">
        <v>1368</v>
      </c>
      <c r="N157">
        <v>1011</v>
      </c>
      <c r="O157" t="s">
        <v>278</v>
      </c>
      <c r="P157" t="s">
        <v>278</v>
      </c>
      <c r="Q157">
        <v>1</v>
      </c>
      <c r="X157">
        <v>5.3999999999999999E-2</v>
      </c>
      <c r="Y157">
        <v>0</v>
      </c>
      <c r="Z157">
        <v>1009.4</v>
      </c>
      <c r="AA157">
        <v>316.82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5.3999999999999999E-2</v>
      </c>
      <c r="AH157">
        <v>2</v>
      </c>
      <c r="AI157">
        <v>42319834</v>
      </c>
      <c r="AJ157">
        <v>160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ROW(Source!A346)</f>
        <v>346</v>
      </c>
      <c r="B158">
        <v>42319837</v>
      </c>
      <c r="C158">
        <v>42319833</v>
      </c>
      <c r="D158">
        <v>40680075</v>
      </c>
      <c r="E158">
        <v>1</v>
      </c>
      <c r="F158">
        <v>1</v>
      </c>
      <c r="G158">
        <v>27</v>
      </c>
      <c r="H158">
        <v>2</v>
      </c>
      <c r="I158" t="s">
        <v>282</v>
      </c>
      <c r="J158" t="s">
        <v>283</v>
      </c>
      <c r="K158" t="s">
        <v>284</v>
      </c>
      <c r="L158">
        <v>1368</v>
      </c>
      <c r="N158">
        <v>1011</v>
      </c>
      <c r="O158" t="s">
        <v>278</v>
      </c>
      <c r="P158" t="s">
        <v>278</v>
      </c>
      <c r="Q158">
        <v>1</v>
      </c>
      <c r="X158">
        <v>5.5E-2</v>
      </c>
      <c r="Y158">
        <v>0</v>
      </c>
      <c r="Z158">
        <v>1014.12</v>
      </c>
      <c r="AA158">
        <v>317.13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5.5E-2</v>
      </c>
      <c r="AH158">
        <v>2</v>
      </c>
      <c r="AI158">
        <v>42319835</v>
      </c>
      <c r="AJ158">
        <v>161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ROW(Source!A347)</f>
        <v>347</v>
      </c>
      <c r="B159">
        <v>42319841</v>
      </c>
      <c r="C159">
        <v>42319838</v>
      </c>
      <c r="D159">
        <v>40680074</v>
      </c>
      <c r="E159">
        <v>1</v>
      </c>
      <c r="F159">
        <v>1</v>
      </c>
      <c r="G159">
        <v>27</v>
      </c>
      <c r="H159">
        <v>2</v>
      </c>
      <c r="I159" t="s">
        <v>324</v>
      </c>
      <c r="J159" t="s">
        <v>325</v>
      </c>
      <c r="K159" t="s">
        <v>326</v>
      </c>
      <c r="L159">
        <v>1368</v>
      </c>
      <c r="N159">
        <v>1011</v>
      </c>
      <c r="O159" t="s">
        <v>278</v>
      </c>
      <c r="P159" t="s">
        <v>278</v>
      </c>
      <c r="Q159">
        <v>1</v>
      </c>
      <c r="X159">
        <v>0.02</v>
      </c>
      <c r="Y159">
        <v>0</v>
      </c>
      <c r="Z159">
        <v>1009.4</v>
      </c>
      <c r="AA159">
        <v>316.82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0.02</v>
      </c>
      <c r="AH159">
        <v>2</v>
      </c>
      <c r="AI159">
        <v>42319839</v>
      </c>
      <c r="AJ159">
        <v>162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ROW(Source!A347)</f>
        <v>347</v>
      </c>
      <c r="B160">
        <v>42319842</v>
      </c>
      <c r="C160">
        <v>42319838</v>
      </c>
      <c r="D160">
        <v>40680075</v>
      </c>
      <c r="E160">
        <v>1</v>
      </c>
      <c r="F160">
        <v>1</v>
      </c>
      <c r="G160">
        <v>27</v>
      </c>
      <c r="H160">
        <v>2</v>
      </c>
      <c r="I160" t="s">
        <v>282</v>
      </c>
      <c r="J160" t="s">
        <v>283</v>
      </c>
      <c r="K160" t="s">
        <v>284</v>
      </c>
      <c r="L160">
        <v>1368</v>
      </c>
      <c r="N160">
        <v>1011</v>
      </c>
      <c r="O160" t="s">
        <v>278</v>
      </c>
      <c r="P160" t="s">
        <v>278</v>
      </c>
      <c r="Q160">
        <v>1</v>
      </c>
      <c r="X160">
        <v>1.7999999999999999E-2</v>
      </c>
      <c r="Y160">
        <v>0</v>
      </c>
      <c r="Z160">
        <v>1014.12</v>
      </c>
      <c r="AA160">
        <v>317.13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1.7999999999999999E-2</v>
      </c>
      <c r="AH160">
        <v>2</v>
      </c>
      <c r="AI160">
        <v>42319840</v>
      </c>
      <c r="AJ160">
        <v>163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ROW(Source!A348)</f>
        <v>348</v>
      </c>
      <c r="B161">
        <v>42319846</v>
      </c>
      <c r="C161">
        <v>42319843</v>
      </c>
      <c r="D161">
        <v>40680074</v>
      </c>
      <c r="E161">
        <v>1</v>
      </c>
      <c r="F161">
        <v>1</v>
      </c>
      <c r="G161">
        <v>27</v>
      </c>
      <c r="H161">
        <v>2</v>
      </c>
      <c r="I161" t="s">
        <v>324</v>
      </c>
      <c r="J161" t="s">
        <v>325</v>
      </c>
      <c r="K161" t="s">
        <v>326</v>
      </c>
      <c r="L161">
        <v>1368</v>
      </c>
      <c r="N161">
        <v>1011</v>
      </c>
      <c r="O161" t="s">
        <v>278</v>
      </c>
      <c r="P161" t="s">
        <v>278</v>
      </c>
      <c r="Q161">
        <v>1</v>
      </c>
      <c r="X161">
        <v>0.01</v>
      </c>
      <c r="Y161">
        <v>0</v>
      </c>
      <c r="Z161">
        <v>1009.4</v>
      </c>
      <c r="AA161">
        <v>316.82</v>
      </c>
      <c r="AB161">
        <v>0</v>
      </c>
      <c r="AC161">
        <v>0</v>
      </c>
      <c r="AD161">
        <v>1</v>
      </c>
      <c r="AE161">
        <v>0</v>
      </c>
      <c r="AF161" t="s">
        <v>165</v>
      </c>
      <c r="AG161">
        <v>0.51</v>
      </c>
      <c r="AH161">
        <v>2</v>
      </c>
      <c r="AI161">
        <v>42319844</v>
      </c>
      <c r="AJ161">
        <v>164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ROW(Source!A348)</f>
        <v>348</v>
      </c>
      <c r="B162">
        <v>42319847</v>
      </c>
      <c r="C162">
        <v>42319843</v>
      </c>
      <c r="D162">
        <v>40680075</v>
      </c>
      <c r="E162">
        <v>1</v>
      </c>
      <c r="F162">
        <v>1</v>
      </c>
      <c r="G162">
        <v>27</v>
      </c>
      <c r="H162">
        <v>2</v>
      </c>
      <c r="I162" t="s">
        <v>282</v>
      </c>
      <c r="J162" t="s">
        <v>283</v>
      </c>
      <c r="K162" t="s">
        <v>284</v>
      </c>
      <c r="L162">
        <v>1368</v>
      </c>
      <c r="N162">
        <v>1011</v>
      </c>
      <c r="O162" t="s">
        <v>278</v>
      </c>
      <c r="P162" t="s">
        <v>278</v>
      </c>
      <c r="Q162">
        <v>1</v>
      </c>
      <c r="X162">
        <v>8.0000000000000002E-3</v>
      </c>
      <c r="Y162">
        <v>0</v>
      </c>
      <c r="Z162">
        <v>1014.12</v>
      </c>
      <c r="AA162">
        <v>317.13</v>
      </c>
      <c r="AB162">
        <v>0</v>
      </c>
      <c r="AC162">
        <v>0</v>
      </c>
      <c r="AD162">
        <v>1</v>
      </c>
      <c r="AE162">
        <v>0</v>
      </c>
      <c r="AF162" t="s">
        <v>165</v>
      </c>
      <c r="AG162">
        <v>0.40800000000000003</v>
      </c>
      <c r="AH162">
        <v>2</v>
      </c>
      <c r="AI162">
        <v>42319845</v>
      </c>
      <c r="AJ162">
        <v>165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ROW(Source!A350)</f>
        <v>350</v>
      </c>
      <c r="B163">
        <v>42319858</v>
      </c>
      <c r="C163">
        <v>42319849</v>
      </c>
      <c r="D163">
        <v>40662784</v>
      </c>
      <c r="E163">
        <v>27</v>
      </c>
      <c r="F163">
        <v>1</v>
      </c>
      <c r="G163">
        <v>27</v>
      </c>
      <c r="H163">
        <v>1</v>
      </c>
      <c r="I163" t="s">
        <v>272</v>
      </c>
      <c r="J163" t="s">
        <v>3</v>
      </c>
      <c r="K163" t="s">
        <v>273</v>
      </c>
      <c r="L163">
        <v>1191</v>
      </c>
      <c r="N163">
        <v>1013</v>
      </c>
      <c r="O163" t="s">
        <v>274</v>
      </c>
      <c r="P163" t="s">
        <v>274</v>
      </c>
      <c r="Q163">
        <v>1</v>
      </c>
      <c r="X163">
        <v>16.559999999999999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1</v>
      </c>
      <c r="AF163" t="s">
        <v>3</v>
      </c>
      <c r="AG163">
        <v>16.559999999999999</v>
      </c>
      <c r="AH163">
        <v>2</v>
      </c>
      <c r="AI163">
        <v>42319850</v>
      </c>
      <c r="AJ163">
        <v>166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ROW(Source!A350)</f>
        <v>350</v>
      </c>
      <c r="B164">
        <v>42319859</v>
      </c>
      <c r="C164">
        <v>42319849</v>
      </c>
      <c r="D164">
        <v>40679320</v>
      </c>
      <c r="E164">
        <v>1</v>
      </c>
      <c r="F164">
        <v>1</v>
      </c>
      <c r="G164">
        <v>27</v>
      </c>
      <c r="H164">
        <v>2</v>
      </c>
      <c r="I164" t="s">
        <v>285</v>
      </c>
      <c r="J164" t="s">
        <v>286</v>
      </c>
      <c r="K164" t="s">
        <v>287</v>
      </c>
      <c r="L164">
        <v>1368</v>
      </c>
      <c r="N164">
        <v>1011</v>
      </c>
      <c r="O164" t="s">
        <v>278</v>
      </c>
      <c r="P164" t="s">
        <v>278</v>
      </c>
      <c r="Q164">
        <v>1</v>
      </c>
      <c r="X164">
        <v>2.08</v>
      </c>
      <c r="Y164">
        <v>0</v>
      </c>
      <c r="Z164">
        <v>740.94</v>
      </c>
      <c r="AA164">
        <v>413.22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2.08</v>
      </c>
      <c r="AH164">
        <v>2</v>
      </c>
      <c r="AI164">
        <v>42319851</v>
      </c>
      <c r="AJ164">
        <v>167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ROW(Source!A350)</f>
        <v>350</v>
      </c>
      <c r="B165">
        <v>42319860</v>
      </c>
      <c r="C165">
        <v>42319849</v>
      </c>
      <c r="D165">
        <v>40679475</v>
      </c>
      <c r="E165">
        <v>1</v>
      </c>
      <c r="F165">
        <v>1</v>
      </c>
      <c r="G165">
        <v>27</v>
      </c>
      <c r="H165">
        <v>2</v>
      </c>
      <c r="I165" t="s">
        <v>288</v>
      </c>
      <c r="J165" t="s">
        <v>289</v>
      </c>
      <c r="K165" t="s">
        <v>290</v>
      </c>
      <c r="L165">
        <v>1368</v>
      </c>
      <c r="N165">
        <v>1011</v>
      </c>
      <c r="O165" t="s">
        <v>278</v>
      </c>
      <c r="P165" t="s">
        <v>278</v>
      </c>
      <c r="Q165">
        <v>1</v>
      </c>
      <c r="X165">
        <v>2.08</v>
      </c>
      <c r="Y165">
        <v>0</v>
      </c>
      <c r="Z165">
        <v>430.32</v>
      </c>
      <c r="AA165">
        <v>215.31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2.08</v>
      </c>
      <c r="AH165">
        <v>2</v>
      </c>
      <c r="AI165">
        <v>42319852</v>
      </c>
      <c r="AJ165">
        <v>168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ROW(Source!A350)</f>
        <v>350</v>
      </c>
      <c r="B166">
        <v>42319861</v>
      </c>
      <c r="C166">
        <v>42319849</v>
      </c>
      <c r="D166">
        <v>40679478</v>
      </c>
      <c r="E166">
        <v>1</v>
      </c>
      <c r="F166">
        <v>1</v>
      </c>
      <c r="G166">
        <v>27</v>
      </c>
      <c r="H166">
        <v>2</v>
      </c>
      <c r="I166" t="s">
        <v>291</v>
      </c>
      <c r="J166" t="s">
        <v>292</v>
      </c>
      <c r="K166" t="s">
        <v>293</v>
      </c>
      <c r="L166">
        <v>1368</v>
      </c>
      <c r="N166">
        <v>1011</v>
      </c>
      <c r="O166" t="s">
        <v>278</v>
      </c>
      <c r="P166" t="s">
        <v>278</v>
      </c>
      <c r="Q166">
        <v>1</v>
      </c>
      <c r="X166">
        <v>0.81</v>
      </c>
      <c r="Y166">
        <v>0</v>
      </c>
      <c r="Z166">
        <v>2020.59</v>
      </c>
      <c r="AA166">
        <v>458.56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0.81</v>
      </c>
      <c r="AH166">
        <v>2</v>
      </c>
      <c r="AI166">
        <v>42319853</v>
      </c>
      <c r="AJ166">
        <v>169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ROW(Source!A350)</f>
        <v>350</v>
      </c>
      <c r="B167">
        <v>42319862</v>
      </c>
      <c r="C167">
        <v>42319849</v>
      </c>
      <c r="D167">
        <v>40679502</v>
      </c>
      <c r="E167">
        <v>1</v>
      </c>
      <c r="F167">
        <v>1</v>
      </c>
      <c r="G167">
        <v>27</v>
      </c>
      <c r="H167">
        <v>2</v>
      </c>
      <c r="I167" t="s">
        <v>294</v>
      </c>
      <c r="J167" t="s">
        <v>295</v>
      </c>
      <c r="K167" t="s">
        <v>296</v>
      </c>
      <c r="L167">
        <v>1368</v>
      </c>
      <c r="N167">
        <v>1011</v>
      </c>
      <c r="O167" t="s">
        <v>278</v>
      </c>
      <c r="P167" t="s">
        <v>278</v>
      </c>
      <c r="Q167">
        <v>1</v>
      </c>
      <c r="X167">
        <v>1.94</v>
      </c>
      <c r="Y167">
        <v>0</v>
      </c>
      <c r="Z167">
        <v>1412.71</v>
      </c>
      <c r="AA167">
        <v>641.32000000000005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1.94</v>
      </c>
      <c r="AH167">
        <v>2</v>
      </c>
      <c r="AI167">
        <v>42319854</v>
      </c>
      <c r="AJ167">
        <v>170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ROW(Source!A350)</f>
        <v>350</v>
      </c>
      <c r="B168">
        <v>42319863</v>
      </c>
      <c r="C168">
        <v>42319849</v>
      </c>
      <c r="D168">
        <v>40679468</v>
      </c>
      <c r="E168">
        <v>1</v>
      </c>
      <c r="F168">
        <v>1</v>
      </c>
      <c r="G168">
        <v>27</v>
      </c>
      <c r="H168">
        <v>2</v>
      </c>
      <c r="I168" t="s">
        <v>297</v>
      </c>
      <c r="J168" t="s">
        <v>298</v>
      </c>
      <c r="K168" t="s">
        <v>299</v>
      </c>
      <c r="L168">
        <v>1368</v>
      </c>
      <c r="N168">
        <v>1011</v>
      </c>
      <c r="O168" t="s">
        <v>278</v>
      </c>
      <c r="P168" t="s">
        <v>278</v>
      </c>
      <c r="Q168">
        <v>1</v>
      </c>
      <c r="X168">
        <v>0.65</v>
      </c>
      <c r="Y168">
        <v>0</v>
      </c>
      <c r="Z168">
        <v>1213.3399999999999</v>
      </c>
      <c r="AA168">
        <v>461.6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0.65</v>
      </c>
      <c r="AH168">
        <v>2</v>
      </c>
      <c r="AI168">
        <v>42319855</v>
      </c>
      <c r="AJ168">
        <v>171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ROW(Source!A350)</f>
        <v>350</v>
      </c>
      <c r="B169">
        <v>42319864</v>
      </c>
      <c r="C169">
        <v>42319849</v>
      </c>
      <c r="D169">
        <v>40681431</v>
      </c>
      <c r="E169">
        <v>1</v>
      </c>
      <c r="F169">
        <v>1</v>
      </c>
      <c r="G169">
        <v>27</v>
      </c>
      <c r="H169">
        <v>3</v>
      </c>
      <c r="I169" t="s">
        <v>300</v>
      </c>
      <c r="J169" t="s">
        <v>301</v>
      </c>
      <c r="K169" t="s">
        <v>302</v>
      </c>
      <c r="L169">
        <v>1339</v>
      </c>
      <c r="N169">
        <v>1007</v>
      </c>
      <c r="O169" t="s">
        <v>38</v>
      </c>
      <c r="P169" t="s">
        <v>38</v>
      </c>
      <c r="Q169">
        <v>1</v>
      </c>
      <c r="X169">
        <v>110</v>
      </c>
      <c r="Y169">
        <v>590.78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110</v>
      </c>
      <c r="AH169">
        <v>2</v>
      </c>
      <c r="AI169">
        <v>42319856</v>
      </c>
      <c r="AJ169">
        <v>172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ROW(Source!A350)</f>
        <v>350</v>
      </c>
      <c r="B170">
        <v>42319865</v>
      </c>
      <c r="C170">
        <v>42319849</v>
      </c>
      <c r="D170">
        <v>40682177</v>
      </c>
      <c r="E170">
        <v>1</v>
      </c>
      <c r="F170">
        <v>1</v>
      </c>
      <c r="G170">
        <v>27</v>
      </c>
      <c r="H170">
        <v>3</v>
      </c>
      <c r="I170" t="s">
        <v>303</v>
      </c>
      <c r="J170" t="s">
        <v>304</v>
      </c>
      <c r="K170" t="s">
        <v>305</v>
      </c>
      <c r="L170">
        <v>1339</v>
      </c>
      <c r="N170">
        <v>1007</v>
      </c>
      <c r="O170" t="s">
        <v>38</v>
      </c>
      <c r="P170" t="s">
        <v>38</v>
      </c>
      <c r="Q170">
        <v>1</v>
      </c>
      <c r="X170">
        <v>5</v>
      </c>
      <c r="Y170">
        <v>35.25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5</v>
      </c>
      <c r="AH170">
        <v>2</v>
      </c>
      <c r="AI170">
        <v>42319857</v>
      </c>
      <c r="AJ170">
        <v>173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ROW(Source!A351)</f>
        <v>351</v>
      </c>
      <c r="B171">
        <v>42319872</v>
      </c>
      <c r="C171">
        <v>42319866</v>
      </c>
      <c r="D171">
        <v>40662784</v>
      </c>
      <c r="E171">
        <v>27</v>
      </c>
      <c r="F171">
        <v>1</v>
      </c>
      <c r="G171">
        <v>27</v>
      </c>
      <c r="H171">
        <v>1</v>
      </c>
      <c r="I171" t="s">
        <v>272</v>
      </c>
      <c r="J171" t="s">
        <v>3</v>
      </c>
      <c r="K171" t="s">
        <v>273</v>
      </c>
      <c r="L171">
        <v>1191</v>
      </c>
      <c r="N171">
        <v>1013</v>
      </c>
      <c r="O171" t="s">
        <v>274</v>
      </c>
      <c r="P171" t="s">
        <v>274</v>
      </c>
      <c r="Q171">
        <v>1</v>
      </c>
      <c r="X171">
        <v>72.959999999999994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1</v>
      </c>
      <c r="AF171" t="s">
        <v>3</v>
      </c>
      <c r="AG171">
        <v>72.959999999999994</v>
      </c>
      <c r="AH171">
        <v>2</v>
      </c>
      <c r="AI171">
        <v>42319867</v>
      </c>
      <c r="AJ171">
        <v>174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ROW(Source!A351)</f>
        <v>351</v>
      </c>
      <c r="B172">
        <v>42319873</v>
      </c>
      <c r="C172">
        <v>42319866</v>
      </c>
      <c r="D172">
        <v>40679392</v>
      </c>
      <c r="E172">
        <v>1</v>
      </c>
      <c r="F172">
        <v>1</v>
      </c>
      <c r="G172">
        <v>27</v>
      </c>
      <c r="H172">
        <v>2</v>
      </c>
      <c r="I172" t="s">
        <v>327</v>
      </c>
      <c r="J172" t="s">
        <v>328</v>
      </c>
      <c r="K172" t="s">
        <v>329</v>
      </c>
      <c r="L172">
        <v>1368</v>
      </c>
      <c r="N172">
        <v>1011</v>
      </c>
      <c r="O172" t="s">
        <v>278</v>
      </c>
      <c r="P172" t="s">
        <v>278</v>
      </c>
      <c r="Q172">
        <v>1</v>
      </c>
      <c r="X172">
        <v>0.28000000000000003</v>
      </c>
      <c r="Y172">
        <v>0</v>
      </c>
      <c r="Z172">
        <v>683.9</v>
      </c>
      <c r="AA172">
        <v>371.27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0.28000000000000003</v>
      </c>
      <c r="AH172">
        <v>2</v>
      </c>
      <c r="AI172">
        <v>42319868</v>
      </c>
      <c r="AJ172">
        <v>175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ROW(Source!A351)</f>
        <v>351</v>
      </c>
      <c r="B173">
        <v>42319874</v>
      </c>
      <c r="C173">
        <v>42319866</v>
      </c>
      <c r="D173">
        <v>40683148</v>
      </c>
      <c r="E173">
        <v>1</v>
      </c>
      <c r="F173">
        <v>1</v>
      </c>
      <c r="G173">
        <v>27</v>
      </c>
      <c r="H173">
        <v>3</v>
      </c>
      <c r="I173" t="s">
        <v>330</v>
      </c>
      <c r="J173" t="s">
        <v>331</v>
      </c>
      <c r="K173" t="s">
        <v>332</v>
      </c>
      <c r="L173">
        <v>1339</v>
      </c>
      <c r="N173">
        <v>1007</v>
      </c>
      <c r="O173" t="s">
        <v>38</v>
      </c>
      <c r="P173" t="s">
        <v>38</v>
      </c>
      <c r="Q173">
        <v>1</v>
      </c>
      <c r="X173">
        <v>4.8</v>
      </c>
      <c r="Y173">
        <v>3714.73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4.8</v>
      </c>
      <c r="AH173">
        <v>2</v>
      </c>
      <c r="AI173">
        <v>42319869</v>
      </c>
      <c r="AJ173">
        <v>176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ROW(Source!A351)</f>
        <v>351</v>
      </c>
      <c r="B174">
        <v>42319875</v>
      </c>
      <c r="C174">
        <v>42319866</v>
      </c>
      <c r="D174">
        <v>40683224</v>
      </c>
      <c r="E174">
        <v>1</v>
      </c>
      <c r="F174">
        <v>1</v>
      </c>
      <c r="G174">
        <v>27</v>
      </c>
      <c r="H174">
        <v>3</v>
      </c>
      <c r="I174" t="s">
        <v>333</v>
      </c>
      <c r="J174" t="s">
        <v>334</v>
      </c>
      <c r="K174" t="s">
        <v>335</v>
      </c>
      <c r="L174">
        <v>1339</v>
      </c>
      <c r="N174">
        <v>1007</v>
      </c>
      <c r="O174" t="s">
        <v>38</v>
      </c>
      <c r="P174" t="s">
        <v>38</v>
      </c>
      <c r="Q174">
        <v>1</v>
      </c>
      <c r="X174">
        <v>0.02</v>
      </c>
      <c r="Y174">
        <v>3392.59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0.02</v>
      </c>
      <c r="AH174">
        <v>2</v>
      </c>
      <c r="AI174">
        <v>42319870</v>
      </c>
      <c r="AJ174">
        <v>177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ROW(Source!A351)</f>
        <v>351</v>
      </c>
      <c r="B175">
        <v>42319876</v>
      </c>
      <c r="C175">
        <v>42319866</v>
      </c>
      <c r="D175">
        <v>40683963</v>
      </c>
      <c r="E175">
        <v>1</v>
      </c>
      <c r="F175">
        <v>1</v>
      </c>
      <c r="G175">
        <v>27</v>
      </c>
      <c r="H175">
        <v>3</v>
      </c>
      <c r="I175" t="s">
        <v>336</v>
      </c>
      <c r="J175" t="s">
        <v>337</v>
      </c>
      <c r="K175" t="s">
        <v>338</v>
      </c>
      <c r="L175">
        <v>1339</v>
      </c>
      <c r="N175">
        <v>1007</v>
      </c>
      <c r="O175" t="s">
        <v>38</v>
      </c>
      <c r="P175" t="s">
        <v>38</v>
      </c>
      <c r="Q175">
        <v>1</v>
      </c>
      <c r="X175">
        <v>1.6</v>
      </c>
      <c r="Y175">
        <v>9014.9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1.6</v>
      </c>
      <c r="AH175">
        <v>2</v>
      </c>
      <c r="AI175">
        <v>42319871</v>
      </c>
      <c r="AJ175">
        <v>178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ROW(Source!A386)</f>
        <v>386</v>
      </c>
      <c r="B176">
        <v>42187606</v>
      </c>
      <c r="C176">
        <v>42187599</v>
      </c>
      <c r="D176">
        <v>40662784</v>
      </c>
      <c r="E176">
        <v>27</v>
      </c>
      <c r="F176">
        <v>1</v>
      </c>
      <c r="G176">
        <v>27</v>
      </c>
      <c r="H176">
        <v>1</v>
      </c>
      <c r="I176" t="s">
        <v>272</v>
      </c>
      <c r="J176" t="s">
        <v>3</v>
      </c>
      <c r="K176" t="s">
        <v>273</v>
      </c>
      <c r="L176">
        <v>1191</v>
      </c>
      <c r="N176">
        <v>1013</v>
      </c>
      <c r="O176" t="s">
        <v>274</v>
      </c>
      <c r="P176" t="s">
        <v>274</v>
      </c>
      <c r="Q176">
        <v>1</v>
      </c>
      <c r="X176">
        <v>9.35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 t="s">
        <v>3</v>
      </c>
      <c r="AG176">
        <v>9.35</v>
      </c>
      <c r="AH176">
        <v>2</v>
      </c>
      <c r="AI176">
        <v>42187600</v>
      </c>
      <c r="AJ176">
        <v>179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ROW(Source!A386)</f>
        <v>386</v>
      </c>
      <c r="B177">
        <v>42187607</v>
      </c>
      <c r="C177">
        <v>42187599</v>
      </c>
      <c r="D177">
        <v>40680178</v>
      </c>
      <c r="E177">
        <v>1</v>
      </c>
      <c r="F177">
        <v>1</v>
      </c>
      <c r="G177">
        <v>27</v>
      </c>
      <c r="H177">
        <v>2</v>
      </c>
      <c r="I177" t="s">
        <v>402</v>
      </c>
      <c r="J177" t="s">
        <v>403</v>
      </c>
      <c r="K177" t="s">
        <v>404</v>
      </c>
      <c r="L177">
        <v>1368</v>
      </c>
      <c r="N177">
        <v>1011</v>
      </c>
      <c r="O177" t="s">
        <v>278</v>
      </c>
      <c r="P177" t="s">
        <v>278</v>
      </c>
      <c r="Q177">
        <v>1</v>
      </c>
      <c r="X177">
        <v>0.09</v>
      </c>
      <c r="Y177">
        <v>0</v>
      </c>
      <c r="Z177">
        <v>9.74</v>
      </c>
      <c r="AA177">
        <v>0.12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0.09</v>
      </c>
      <c r="AH177">
        <v>2</v>
      </c>
      <c r="AI177">
        <v>42187601</v>
      </c>
      <c r="AJ177">
        <v>180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ROW(Source!A386)</f>
        <v>386</v>
      </c>
      <c r="B178">
        <v>42187608</v>
      </c>
      <c r="C178">
        <v>42187599</v>
      </c>
      <c r="D178">
        <v>40679389</v>
      </c>
      <c r="E178">
        <v>1</v>
      </c>
      <c r="F178">
        <v>1</v>
      </c>
      <c r="G178">
        <v>27</v>
      </c>
      <c r="H178">
        <v>2</v>
      </c>
      <c r="I178" t="s">
        <v>372</v>
      </c>
      <c r="J178" t="s">
        <v>373</v>
      </c>
      <c r="K178" t="s">
        <v>374</v>
      </c>
      <c r="L178">
        <v>1368</v>
      </c>
      <c r="N178">
        <v>1011</v>
      </c>
      <c r="O178" t="s">
        <v>278</v>
      </c>
      <c r="P178" t="s">
        <v>278</v>
      </c>
      <c r="Q178">
        <v>1</v>
      </c>
      <c r="X178">
        <v>0.01</v>
      </c>
      <c r="Y178">
        <v>0</v>
      </c>
      <c r="Z178">
        <v>616.73</v>
      </c>
      <c r="AA178">
        <v>511.29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0.01</v>
      </c>
      <c r="AH178">
        <v>2</v>
      </c>
      <c r="AI178">
        <v>42187602</v>
      </c>
      <c r="AJ178">
        <v>181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ROW(Source!A386)</f>
        <v>386</v>
      </c>
      <c r="B179">
        <v>42187609</v>
      </c>
      <c r="C179">
        <v>42187599</v>
      </c>
      <c r="D179">
        <v>40682698</v>
      </c>
      <c r="E179">
        <v>1</v>
      </c>
      <c r="F179">
        <v>1</v>
      </c>
      <c r="G179">
        <v>27</v>
      </c>
      <c r="H179">
        <v>3</v>
      </c>
      <c r="I179" t="s">
        <v>405</v>
      </c>
      <c r="J179" t="s">
        <v>406</v>
      </c>
      <c r="K179" t="s">
        <v>407</v>
      </c>
      <c r="L179">
        <v>1301</v>
      </c>
      <c r="N179">
        <v>1003</v>
      </c>
      <c r="O179" t="s">
        <v>408</v>
      </c>
      <c r="P179" t="s">
        <v>408</v>
      </c>
      <c r="Q179">
        <v>1</v>
      </c>
      <c r="X179">
        <v>24.7</v>
      </c>
      <c r="Y179">
        <v>38.49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24.7</v>
      </c>
      <c r="AH179">
        <v>2</v>
      </c>
      <c r="AI179">
        <v>42187603</v>
      </c>
      <c r="AJ179">
        <v>182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ROW(Source!A386)</f>
        <v>386</v>
      </c>
      <c r="B180">
        <v>42187610</v>
      </c>
      <c r="C180">
        <v>42187599</v>
      </c>
      <c r="D180">
        <v>40682699</v>
      </c>
      <c r="E180">
        <v>1</v>
      </c>
      <c r="F180">
        <v>1</v>
      </c>
      <c r="G180">
        <v>27</v>
      </c>
      <c r="H180">
        <v>3</v>
      </c>
      <c r="I180" t="s">
        <v>409</v>
      </c>
      <c r="J180" t="s">
        <v>410</v>
      </c>
      <c r="K180" t="s">
        <v>411</v>
      </c>
      <c r="L180">
        <v>1346</v>
      </c>
      <c r="N180">
        <v>1009</v>
      </c>
      <c r="O180" t="s">
        <v>228</v>
      </c>
      <c r="P180" t="s">
        <v>228</v>
      </c>
      <c r="Q180">
        <v>1</v>
      </c>
      <c r="X180">
        <v>4.82</v>
      </c>
      <c r="Y180">
        <v>256.20999999999998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4.82</v>
      </c>
      <c r="AH180">
        <v>2</v>
      </c>
      <c r="AI180">
        <v>42187604</v>
      </c>
      <c r="AJ180">
        <v>183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ROW(Source!A386)</f>
        <v>386</v>
      </c>
      <c r="B181">
        <v>42187611</v>
      </c>
      <c r="C181">
        <v>42187599</v>
      </c>
      <c r="D181">
        <v>40682700</v>
      </c>
      <c r="E181">
        <v>1</v>
      </c>
      <c r="F181">
        <v>1</v>
      </c>
      <c r="G181">
        <v>27</v>
      </c>
      <c r="H181">
        <v>3</v>
      </c>
      <c r="I181" t="s">
        <v>412</v>
      </c>
      <c r="J181" t="s">
        <v>413</v>
      </c>
      <c r="K181" t="s">
        <v>414</v>
      </c>
      <c r="L181">
        <v>1327</v>
      </c>
      <c r="N181">
        <v>1005</v>
      </c>
      <c r="O181" t="s">
        <v>223</v>
      </c>
      <c r="P181" t="s">
        <v>223</v>
      </c>
      <c r="Q181">
        <v>1</v>
      </c>
      <c r="X181">
        <v>102</v>
      </c>
      <c r="Y181">
        <v>614.99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102</v>
      </c>
      <c r="AH181">
        <v>2</v>
      </c>
      <c r="AI181">
        <v>42187605</v>
      </c>
      <c r="AJ181">
        <v>184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ROW(Source!A424)</f>
        <v>424</v>
      </c>
      <c r="B182">
        <v>42187616</v>
      </c>
      <c r="C182">
        <v>42187612</v>
      </c>
      <c r="D182">
        <v>40662784</v>
      </c>
      <c r="E182">
        <v>27</v>
      </c>
      <c r="F182">
        <v>1</v>
      </c>
      <c r="G182">
        <v>27</v>
      </c>
      <c r="H182">
        <v>1</v>
      </c>
      <c r="I182" t="s">
        <v>272</v>
      </c>
      <c r="J182" t="s">
        <v>3</v>
      </c>
      <c r="K182" t="s">
        <v>273</v>
      </c>
      <c r="L182">
        <v>1191</v>
      </c>
      <c r="N182">
        <v>1013</v>
      </c>
      <c r="O182" t="s">
        <v>274</v>
      </c>
      <c r="P182" t="s">
        <v>274</v>
      </c>
      <c r="Q182">
        <v>1</v>
      </c>
      <c r="X182">
        <v>518.48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1</v>
      </c>
      <c r="AF182" t="s">
        <v>3</v>
      </c>
      <c r="AG182">
        <v>518.48</v>
      </c>
      <c r="AH182">
        <v>2</v>
      </c>
      <c r="AI182">
        <v>42187613</v>
      </c>
      <c r="AJ182">
        <v>185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ROW(Source!A424)</f>
        <v>424</v>
      </c>
      <c r="B183">
        <v>42187617</v>
      </c>
      <c r="C183">
        <v>42187612</v>
      </c>
      <c r="D183">
        <v>40679730</v>
      </c>
      <c r="E183">
        <v>1</v>
      </c>
      <c r="F183">
        <v>1</v>
      </c>
      <c r="G183">
        <v>27</v>
      </c>
      <c r="H183">
        <v>2</v>
      </c>
      <c r="I183" t="s">
        <v>415</v>
      </c>
      <c r="J183" t="s">
        <v>416</v>
      </c>
      <c r="K183" t="s">
        <v>417</v>
      </c>
      <c r="L183">
        <v>1368</v>
      </c>
      <c r="N183">
        <v>1011</v>
      </c>
      <c r="O183" t="s">
        <v>278</v>
      </c>
      <c r="P183" t="s">
        <v>278</v>
      </c>
      <c r="Q183">
        <v>1</v>
      </c>
      <c r="X183">
        <v>3.23</v>
      </c>
      <c r="Y183">
        <v>0</v>
      </c>
      <c r="Z183">
        <v>351.29</v>
      </c>
      <c r="AA183">
        <v>7.02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3.23</v>
      </c>
      <c r="AH183">
        <v>2</v>
      </c>
      <c r="AI183">
        <v>42187614</v>
      </c>
      <c r="AJ183">
        <v>186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ROW(Source!A424)</f>
        <v>424</v>
      </c>
      <c r="B184">
        <v>42187618</v>
      </c>
      <c r="C184">
        <v>42187612</v>
      </c>
      <c r="D184">
        <v>40679406</v>
      </c>
      <c r="E184">
        <v>1</v>
      </c>
      <c r="F184">
        <v>1</v>
      </c>
      <c r="G184">
        <v>27</v>
      </c>
      <c r="H184">
        <v>2</v>
      </c>
      <c r="I184" t="s">
        <v>418</v>
      </c>
      <c r="J184" t="s">
        <v>419</v>
      </c>
      <c r="K184" t="s">
        <v>420</v>
      </c>
      <c r="L184">
        <v>1368</v>
      </c>
      <c r="N184">
        <v>1011</v>
      </c>
      <c r="O184" t="s">
        <v>278</v>
      </c>
      <c r="P184" t="s">
        <v>278</v>
      </c>
      <c r="Q184">
        <v>1</v>
      </c>
      <c r="X184">
        <v>5.88</v>
      </c>
      <c r="Y184">
        <v>0</v>
      </c>
      <c r="Z184">
        <v>16.920000000000002</v>
      </c>
      <c r="AA184">
        <v>0.09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5.88</v>
      </c>
      <c r="AH184">
        <v>2</v>
      </c>
      <c r="AI184">
        <v>42187615</v>
      </c>
      <c r="AJ184">
        <v>187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Смета СН-2012 по гл. 1-5</vt:lpstr>
      <vt:lpstr>RV_DATA</vt:lpstr>
      <vt:lpstr>Расчет стоимости ресурсов</vt:lpstr>
      <vt:lpstr>Дефектная ведомость</vt:lpstr>
      <vt:lpstr>Ведомость объемов работ</vt:lpstr>
      <vt:lpstr>Source</vt:lpstr>
      <vt:lpstr>SourceObSm</vt:lpstr>
      <vt:lpstr>SmtRes</vt:lpstr>
      <vt:lpstr>EtalonRes</vt:lpstr>
      <vt:lpstr>'Ведомость объемов работ'!Заголовки_для_печати</vt:lpstr>
      <vt:lpstr>'Дефектная ведомость'!Заголовки_для_печати</vt:lpstr>
      <vt:lpstr>'Расчет стоимости ресурсов'!Заголовки_для_печати</vt:lpstr>
      <vt:lpstr>'Смета СН-2012 по гл. 1-5'!Заголовки_для_печати</vt:lpstr>
      <vt:lpstr>'Ведомость объемов работ'!Область_печати</vt:lpstr>
      <vt:lpstr>'Дефектная ведомость'!Область_печати</vt:lpstr>
      <vt:lpstr>'Расчет стоимости ресурсов'!Область_печати</vt:lpstr>
      <vt:lpstr>'Смета СН-2012 по гл. 1-5'!Область_печати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Блогоустр-София</dc:creator>
  <cp:lastModifiedBy>Григорий</cp:lastModifiedBy>
  <cp:lastPrinted>2021-03-13T13:09:02Z</cp:lastPrinted>
  <dcterms:created xsi:type="dcterms:W3CDTF">2021-02-04T15:55:35Z</dcterms:created>
  <dcterms:modified xsi:type="dcterms:W3CDTF">2021-03-13T13:11:58Z</dcterms:modified>
</cp:coreProperties>
</file>